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27216" windowHeight="12768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сведения'!$A$155</definedName>
    <definedName name="_proverka">'ЭЗ'!$A$442</definedName>
    <definedName name="_xlfn.IFERROR" hidden="1">#NAME?</definedName>
    <definedName name="_дпо" localSheetId="1">#REF!</definedName>
    <definedName name="_дпо">'общие сведения'!$A$162</definedName>
    <definedName name="_рек3" localSheetId="1">#REF!</definedName>
    <definedName name="_рек3">'общие сведения'!$A$164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сведения'!$B$53</definedName>
    <definedName name="вуз_2" localSheetId="1">#REF!</definedName>
    <definedName name="вуз_2">'общие сведения'!$B$57</definedName>
    <definedName name="вуз_3" localSheetId="1">#REF!</definedName>
    <definedName name="вуз_3">'общие сведения'!$B$61</definedName>
    <definedName name="вывод1" localSheetId="1">#REF!</definedName>
    <definedName name="вывод1">'общие сведения'!$K$87</definedName>
    <definedName name="год" localSheetId="1">#REF!</definedName>
    <definedName name="год">'общие сведения'!$H$118</definedName>
    <definedName name="год_вуз_1" localSheetId="1">#REF!</definedName>
    <definedName name="год_вуз_1">'общие сведения'!$E$55</definedName>
    <definedName name="год_вуз_2" localSheetId="1">#REF!</definedName>
    <definedName name="год_вуз_2">'общие сведения'!$E$59</definedName>
    <definedName name="год_вуз_3" localSheetId="1">#REF!</definedName>
    <definedName name="год_вуз_3">'общие сведения'!$E$63</definedName>
    <definedName name="год_доп_по" localSheetId="1">#REF!</definedName>
    <definedName name="год_доп_по">'общие сведения'!$G$70</definedName>
    <definedName name="датаПрисв">'общие сведения'!$I$46</definedName>
    <definedName name="датаПрисв_ОС" localSheetId="1">#REF!</definedName>
    <definedName name="датаПрисв_ОС">'общие сведения'!$I$46</definedName>
    <definedName name="долж_ОС" localSheetId="1">#REF!</definedName>
    <definedName name="долж_ОС">'общие сведения'!$B$38</definedName>
    <definedName name="доп_по" localSheetId="1">#REF!</definedName>
    <definedName name="доп_по">'общие сведения'!$B$72</definedName>
    <definedName name="ЗаявлКатег_ОС" localSheetId="1">#REF!</definedName>
    <definedName name="ЗаявлКатег_ОС">'общие сведения'!$D$48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'ЭЗ'!$AA$219</definedName>
    <definedName name="итого_3">'ЭЗ'!$AA$219</definedName>
    <definedName name="итого_4">'ЭЗ'!$AA$401</definedName>
    <definedName name="катег_ОС" localSheetId="1">#REF!</definedName>
    <definedName name="катег_ОС">'общие сведения'!$D$46</definedName>
    <definedName name="кол_ЭГ" localSheetId="1">#REF!</definedName>
    <definedName name="кол_ЭГ">'общие сведения'!$F$107</definedName>
    <definedName name="Курсы_0">#REF!</definedName>
    <definedName name="место_ОС" localSheetId="1">#REF!</definedName>
    <definedName name="место_ОС">'общие сведения'!$B$34</definedName>
    <definedName name="МуницОбр_ОС" localSheetId="1">#REF!</definedName>
    <definedName name="МуницОбр_ОС">'общие сведения'!$G$32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сведения'!$A$3:$J$126</definedName>
    <definedName name="_xlnm.Print_Area" localSheetId="1">'ЭЗ'!$A$40:$W$108</definedName>
    <definedName name="Ош_1" localSheetId="1">#REF!</definedName>
    <definedName name="Ош_1">'общие сведения'!$J$44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сведения'!$A$98</definedName>
    <definedName name="рез_3" localSheetId="1">#REF!</definedName>
    <definedName name="рез_3">'общие сведения'!$A$99</definedName>
    <definedName name="рек_итог" localSheetId="1">#REF!</definedName>
    <definedName name="рек_итог">'общие сведения'!$M$156</definedName>
    <definedName name="рек_общ" localSheetId="1">#REF!</definedName>
    <definedName name="рек_общ">'общие сведения'!$M$155</definedName>
    <definedName name="Рек_ПК">'общие сведения'!$A$155</definedName>
    <definedName name="рек2" localSheetId="1">#REF!</definedName>
    <definedName name="рек2">'общие сведения'!$I$93</definedName>
    <definedName name="рек3" localSheetId="1">#REF!</definedName>
    <definedName name="рек3">'общие сведения'!$I$96</definedName>
    <definedName name="специал_ОС" localSheetId="1">#REF!</definedName>
    <definedName name="специал_ОС">'общие сведения'!$B$39</definedName>
    <definedName name="стаж_ОС" localSheetId="1">#REF!</definedName>
    <definedName name="стаж_ОС">'общие сведения'!$D$44</definedName>
    <definedName name="фио_1чл" localSheetId="1">#REF!</definedName>
    <definedName name="фио_1чл">'общие сведения'!$C$111</definedName>
    <definedName name="фио_2чл" localSheetId="1">#REF!</definedName>
    <definedName name="фио_2чл">'общие сведения'!$C$113</definedName>
    <definedName name="фио_3чл" localSheetId="1">#REF!</definedName>
    <definedName name="фио_3чл">'общие сведения'!$C$115</definedName>
    <definedName name="фио_ОС" localSheetId="1">#REF!</definedName>
    <definedName name="фио_ОС">'общие сведения'!$C$30</definedName>
    <definedName name="фио_предс" localSheetId="1">#REF!</definedName>
    <definedName name="фио_предс">'общие сведения'!$C$109</definedName>
    <definedName name="ы" localSheetId="1">#REF!</definedName>
    <definedName name="ы">'общие сведения'!$B$39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5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Например, </t>
        </r>
        <r>
          <rPr>
            <i/>
            <u val="single"/>
            <sz val="8"/>
            <rFont val="Tahoma"/>
            <family val="2"/>
          </rPr>
          <t xml:space="preserve">высшее: </t>
        </r>
        <r>
          <rPr>
            <i/>
            <sz val="8"/>
            <rFont val="Tahoma"/>
            <family val="2"/>
          </rPr>
          <t xml:space="preserve">ГОУ ВПО Гуманитарная академия, г.Москва. Специальность: "Дошкольное образование", квалификация: воспитатель детей дошкольного возраста.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B7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6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I46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5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29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03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81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<sst xmlns="http://schemas.openxmlformats.org/spreadsheetml/2006/main" count="982" uniqueCount="598">
  <si>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</si>
  <si>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</si>
  <si>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</si>
  <si>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</si>
  <si>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</si>
  <si>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</si>
  <si>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</si>
  <si>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</si>
  <si>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</si>
  <si>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</si>
  <si>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</si>
  <si>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</si>
  <si>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</si>
  <si>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</si>
  <si>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</si>
  <si>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</si>
  <si>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</si>
  <si>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</si>
  <si>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</si>
  <si>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</si>
  <si>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</si>
  <si>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</si>
  <si>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</si>
  <si>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</si>
  <si>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</si>
  <si>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</si>
  <si>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</si>
  <si>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</si>
  <si>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</si>
  <si>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</si>
  <si>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</si>
  <si>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</si>
  <si>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</si>
  <si>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</si>
  <si>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</si>
  <si>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</si>
  <si>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</si>
  <si>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</si>
  <si>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</si>
  <si>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</si>
  <si>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</si>
  <si>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</si>
  <si>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</si>
  <si>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</si>
  <si>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</si>
  <si>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</si>
  <si>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</si>
  <si>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</si>
  <si>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</si>
  <si>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</si>
  <si>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</si>
  <si>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</si>
  <si>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</si>
  <si>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</si>
  <si>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</si>
  <si>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</si>
  <si>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</si>
  <si>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</si>
  <si>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</si>
  <si>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</si>
  <si>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</si>
  <si>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</si>
  <si>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</si>
  <si>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</si>
  <si>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</si>
  <si>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</si>
  <si>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</si>
  <si>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</si>
  <si>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</si>
  <si>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</si>
  <si>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</si>
  <si>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</si>
  <si>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</si>
  <si>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</si>
  <si>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</si>
  <si>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</si>
  <si>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</si>
  <si>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</si>
  <si>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</si>
  <si>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</si>
  <si>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</si>
  <si>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</si>
  <si>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</si>
  <si>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</si>
  <si>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</si>
  <si>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</si>
  <si>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</si>
  <si>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</si>
  <si>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</si>
  <si>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</si>
  <si>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</si>
  <si>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</si>
  <si>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</si>
  <si>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</si>
  <si>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</si>
  <si>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</si>
  <si>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</si>
  <si>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</si>
  <si>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</si>
  <si>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</si>
  <si>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</si>
  <si>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</si>
  <si>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</si>
  <si>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</si>
  <si>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</si>
  <si>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</si>
  <si>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</si>
  <si>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</si>
  <si>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</si>
  <si>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</si>
  <si>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</si>
  <si>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</si>
  <si>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</si>
  <si>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</si>
  <si>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</si>
  <si>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</si>
  <si>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</si>
  <si>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</si>
  <si>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</si>
  <si>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</si>
  <si>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</si>
  <si>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</si>
  <si>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</si>
  <si>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</si>
  <si>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</si>
  <si>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</si>
  <si>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</si>
  <si>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</si>
  <si>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</si>
  <si>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</si>
  <si>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</si>
  <si>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</si>
  <si>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</si>
  <si>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</si>
  <si>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</si>
  <si>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</si>
  <si>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</si>
  <si>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</si>
  <si>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</si>
  <si>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</si>
  <si>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</si>
  <si>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</si>
  <si>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</si>
  <si>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</si>
  <si>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</si>
  <si>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</si>
  <si>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</si>
  <si>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</si>
  <si>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</si>
  <si>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</si>
  <si>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</si>
  <si>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</si>
  <si>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</si>
  <si>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</si>
  <si>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</si>
  <si>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</si>
  <si>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</si>
  <si>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</si>
  <si>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</si>
  <si>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</si>
  <si>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</si>
  <si>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</si>
  <si>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</si>
  <si>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</si>
  <si>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</si>
  <si>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</si>
  <si>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</si>
  <si>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</si>
  <si>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</si>
  <si>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</si>
  <si>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</si>
  <si>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</si>
  <si>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</si>
  <si>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</si>
  <si>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</si>
  <si>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</si>
  <si>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</si>
  <si>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</si>
  <si>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</si>
  <si>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</si>
  <si>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</si>
  <si>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</si>
  <si>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</si>
  <si>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</si>
  <si>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</si>
  <si>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</si>
  <si>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</si>
  <si>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</si>
  <si>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</si>
  <si>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</si>
  <si>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</si>
  <si>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</si>
  <si>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</si>
  <si>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</si>
  <si>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</si>
  <si>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</si>
  <si>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</si>
  <si>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</si>
  <si>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</si>
  <si>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</si>
  <si>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</si>
  <si>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</si>
  <si>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</si>
  <si>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</si>
  <si>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</si>
  <si>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</si>
  <si>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</si>
  <si>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</si>
  <si>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</si>
  <si>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</si>
  <si>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</si>
  <si>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</si>
  <si>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</si>
  <si>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</si>
  <si>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</si>
  <si>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</si>
  <si>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</si>
  <si>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</si>
  <si>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</si>
  <si>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</si>
  <si>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</si>
  <si>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</si>
  <si>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</si>
  <si>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</si>
  <si>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</si>
  <si>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</si>
  <si>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</si>
  <si>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</si>
  <si>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</si>
  <si>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</si>
  <si>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</si>
  <si>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</si>
  <si>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</si>
  <si>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</si>
  <si>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</si>
  <si>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</si>
  <si>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</si>
  <si>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</si>
  <si>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</si>
  <si>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</si>
  <si>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</si>
  <si>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</si>
  <si>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</si>
  <si>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</si>
  <si>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</si>
  <si>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</si>
  <si>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</si>
  <si>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</si>
  <si>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</si>
  <si>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</si>
  <si>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</si>
  <si>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</si>
  <si>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</si>
  <si>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</si>
  <si>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</si>
  <si>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</si>
  <si>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</si>
  <si>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</si>
  <si>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</si>
  <si>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</si>
  <si>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</si>
  <si>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</si>
  <si>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</si>
  <si>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</si>
  <si>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</si>
  <si>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</si>
  <si>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</si>
  <si>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</si>
  <si>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</si>
  <si>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</si>
  <si>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</si>
  <si>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</si>
  <si>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</si>
  <si>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</si>
  <si>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</si>
  <si>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</si>
  <si>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</si>
  <si>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</si>
  <si>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</si>
  <si>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</si>
  <si>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</si>
  <si>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</si>
  <si>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</si>
  <si>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</si>
  <si>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</si>
  <si>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</si>
  <si>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</si>
  <si>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</si>
  <si>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</si>
  <si>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</si>
  <si>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</si>
  <si>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</si>
  <si>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</si>
  <si>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</si>
  <si>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</si>
  <si>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</si>
  <si>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</si>
  <si>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</si>
  <si>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</si>
  <si>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</si>
  <si>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</si>
  <si>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</si>
  <si>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</si>
  <si>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- 20б.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</si>
  <si>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</si>
  <si>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</si>
  <si>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</si>
  <si>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</si>
  <si>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</si>
  <si>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</si>
  <si>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</si>
  <si>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</si>
  <si>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Региональные контрольные работы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</si>
  <si>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</si>
  <si>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</si>
  <si>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</si>
  <si>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</si>
  <si>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</si>
  <si>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</si>
  <si>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</si>
  <si>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</si>
  <si>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</si>
  <si>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</si>
  <si>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</si>
  <si>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</si>
  <si>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</si>
  <si>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</si>
  <si>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</si>
  <si>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</si>
  <si>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</si>
  <si>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</si>
  <si>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</si>
  <si>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</si>
  <si>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</si>
  <si>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</si>
  <si>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</si>
  <si>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</si>
  <si>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</si>
  <si>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</si>
  <si>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</si>
  <si>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</si>
  <si>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</si>
  <si>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</si>
  <si>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</si>
  <si>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</si>
  <si>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</si>
  <si>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</si>
  <si>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</si>
  <si>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</si>
  <si>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</si>
  <si>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</si>
  <si>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</si>
  <si>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</si>
  <si>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</si>
  <si>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</si>
  <si>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</si>
  <si>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</si>
  <si>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</si>
  <si>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</si>
  <si>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</si>
  <si>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</si>
  <si>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</si>
  <si>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</si>
  <si>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</si>
  <si>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</si>
  <si>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</si>
  <si>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</si>
  <si>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</si>
  <si>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</si>
  <si>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</si>
  <si>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</si>
  <si>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</si>
  <si>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</si>
  <si>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</si>
  <si>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</si>
  <si>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</si>
  <si>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</si>
  <si>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</si>
  <si>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</si>
  <si>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</si>
  <si>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</si>
  <si>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</si>
  <si>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</si>
  <si>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</si>
  <si>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</si>
  <si>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</si>
  <si>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</si>
  <si>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</si>
  <si>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</si>
  <si>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</si>
  <si>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</si>
  <si>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</si>
  <si>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</si>
  <si>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</si>
  <si>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</si>
  <si>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</si>
  <si>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</si>
  <si>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</si>
  <si>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</si>
  <si>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</si>
  <si>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</si>
  <si>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</si>
  <si>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</si>
  <si>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</si>
  <si>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-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</si>
  <si>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</si>
  <si>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</si>
  <si>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</si>
  <si>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</si>
  <si>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</si>
  <si>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</si>
  <si>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</si>
  <si>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</si>
  <si>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</si>
  <si>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</si>
  <si>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</si>
  <si>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</si>
  <si>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</si>
  <si>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</si>
  <si>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</si>
  <si>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</si>
  <si>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</si>
  <si>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</si>
  <si>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</si>
  <si>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</si>
  <si>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</si>
  <si>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</si>
  <si>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</si>
  <si>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</si>
  <si>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</si>
  <si>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</si>
  <si>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</si>
  <si>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</si>
  <si>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</si>
  <si>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>Участие педагога в проект-
но-исследовательской, опытно-экспериментальной 
и др. научной деятельности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</si>
  <si>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</si>
  <si>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</si>
  <si>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</si>
  <si>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</si>
  <si>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</si>
  <si>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</si>
  <si>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</si>
  <si>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</si>
  <si>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</si>
  <si>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</si>
  <si>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</si>
  <si>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</si>
  <si>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</si>
  <si>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</si>
  <si>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</si>
  <si>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</si>
  <si>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</si>
  <si>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</si>
  <si>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</si>
  <si>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</si>
  <si>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</si>
  <si>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</si>
  <si>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</si>
  <si>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</si>
  <si>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</si>
  <si>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</si>
  <si>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</si>
  <si>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</si>
  <si>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</si>
  <si>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</si>
  <si>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</si>
  <si>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</si>
  <si>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</si>
  <si>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</si>
  <si>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</si>
  <si>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</si>
  <si>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</si>
  <si>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</si>
  <si>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</si>
  <si>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</si>
  <si>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 xml:space="preserve">требованиям, </t>
  </si>
  <si>
    <t>МАСТЕРА П/О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</si>
  <si>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</si>
  <si>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</si>
  <si>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</si>
  <si>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</si>
  <si>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</si>
  <si>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</si>
  <si>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</si>
  <si>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</si>
  <si>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</si>
  <si>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</si>
  <si>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</si>
  <si>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</si>
  <si>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</si>
  <si>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</si>
  <si>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</si>
  <si>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</si>
  <si>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</si>
  <si>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</si>
  <si>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</si>
  <si>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</si>
  <si>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</si>
  <si>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</si>
  <si>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</si>
  <si>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</si>
  <si>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</si>
  <si>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</si>
  <si>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t>Учитель 
(преподаватель)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</si>
  <si>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</si>
  <si>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</si>
  <si>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</si>
  <si>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</si>
  <si>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</si>
  <si>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</si>
  <si>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</si>
  <si>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</si>
  <si>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</si>
  <si>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</si>
  <si>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</si>
  <si>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</si>
  <si>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</si>
  <si>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воспитатель ДОО</t>
  </si>
  <si>
    <t>ДОО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</si>
  <si>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</si>
  <si>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</si>
  <si>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>проверка для всех должностей</t>
  </si>
  <si>
    <t>мастер</t>
  </si>
  <si>
    <t>_общ</t>
  </si>
  <si>
    <t xml:space="preserve"> ---</t>
  </si>
  <si>
    <t>воспитатель ОО</t>
  </si>
  <si>
    <t>воспитателя 
дошкольной образовательной организации</t>
  </si>
  <si>
    <t>воспитателя образовательной организации (ОО, Дет.домов, Ш-И, ГПД, ПО)</t>
  </si>
  <si>
    <t xml:space="preserve">Стабильные положительные результаты </t>
  </si>
  <si>
    <t>Нет стабильных положительных результатов</t>
  </si>
  <si>
    <t>Нет динамики / отрицательная динамика результатов</t>
  </si>
  <si>
    <t>дошкольное образование</t>
  </si>
  <si>
    <t>должность             соответствует/ не соответствует</t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</si>
  <si>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</si>
  <si>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</si>
  <si>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</si>
  <si>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</si>
  <si>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>Муниципальный 
уровень</t>
  </si>
  <si>
    <t>Уровень обр.орг.</t>
  </si>
  <si>
    <t xml:space="preserve"> 20-40</t>
  </si>
  <si>
    <t xml:space="preserve">
Победители, призеры - 10б.</t>
  </si>
  <si>
    <t xml:space="preserve">
Победители, призеры - 30б.</t>
  </si>
  <si>
    <t xml:space="preserve">
Победители, призеры -40б.</t>
  </si>
  <si>
    <t xml:space="preserve">
Победители, призеры - 50б.</t>
  </si>
  <si>
    <t xml:space="preserve">
Участие - 10б.</t>
  </si>
  <si>
    <t xml:space="preserve">
Участие - 20б.</t>
  </si>
  <si>
    <t xml:space="preserve"> 2.4.</t>
  </si>
  <si>
    <t xml:space="preserve">
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</si>
  <si>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</si>
  <si>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 xml:space="preserve">Положительная динамика 
результатов </t>
  </si>
  <si>
    <r>
      <t xml:space="preserve">Методы организации деятельности воспитанников 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воспитанников на занятии)</t>
    </r>
  </si>
  <si>
    <r>
      <t xml:space="preserve">Методы формирования новых знаний и способов действий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(оценка деятельности педагогического работника на анятии)</t>
    </r>
    <r>
      <rPr>
        <sz val="11"/>
        <rFont val="Times New Roman"/>
        <family val="1"/>
      </rPr>
      <t xml:space="preserve">
</t>
    </r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</si>
  <si>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</si>
  <si>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 xml:space="preserve"> 30-50</t>
  </si>
  <si>
    <t>Проведение открытых  занятий, мероприятий, мастер-классов и др.</t>
  </si>
  <si>
    <t xml:space="preserve">Муниципальный 
уровень
</t>
  </si>
  <si>
    <t xml:space="preserve">Федеральный уровень
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</si>
  <si>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>(за исключе- нием вопросов организацион-
ного характера)</t>
    </r>
    <r>
      <rPr>
        <sz val="11"/>
        <rFont val="Times New Roman"/>
        <family val="1"/>
      </rPr>
      <t xml:space="preserve">  и др. </t>
    </r>
  </si>
  <si>
    <t>Публичное представление собственного педагогического опыта 
на сайтах</t>
  </si>
  <si>
    <t xml:space="preserve"> об уровне квалификации 
педагогического работника  </t>
  </si>
  <si>
    <t xml:space="preserve">Воспитатель 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</si>
  <si>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</si>
  <si>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>2) если у педагога нет высшего или среднего педагогического образования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</si>
  <si>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</si>
  <si>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</si>
  <si>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Профессиональное владение техникой исполнения на музыкальном инструменте </t>
  </si>
  <si>
    <t xml:space="preserve">   3) если педагог не достаточно профессионально владеет техникой исполнения на музыкальном инструменте</t>
  </si>
  <si>
    <t xml:space="preserve">Совершенствовать  технику исполнения на музыкальном инструменте. </t>
  </si>
  <si>
    <t xml:space="preserve">В течение одного года пройти обучение по программе повышения квалификации.  
</t>
  </si>
  <si>
    <t xml:space="preserve">Получить  дополнительное профессиональное образование по направлению подготовки "Образование и педагогика". 
 </t>
  </si>
  <si>
    <t>Продуктивность образовательной деятельности</t>
  </si>
  <si>
    <t>(далее – Прил. № 1)</t>
  </si>
  <si>
    <t>Динамика результатов освоения обучающимися/ воспитанниками основной образовательной программы по художественно-эстетическому развитию (музыка) по итогам мониторингов, проводимых организацией</t>
  </si>
  <si>
    <t>Результаты освоения 
обучающимися/ воспитанниками основной образовательной программы по художественно-эстетическому развитию (музыка) по итогам мониторингов, проводимых организацией</t>
  </si>
  <si>
    <t>Развитие индивидуальных музыкальных и творческих способностей обучающихся/ воспитанников</t>
  </si>
  <si>
    <t>Участие в организации и проведении мероприятий с обучающимися /воспитанниками (праздники, развлечения, утренники и др.)</t>
  </si>
  <si>
    <t>Консультирование и координация работы педагогического персонала и родителей (лиц, их заменяющих) по вопросам музыкального воспитания детей</t>
  </si>
  <si>
    <t>Результаты участия обучающихся/воспитанников в конкурсах, фестивалях и др. мероприятиях</t>
  </si>
  <si>
    <t>(далее – Прил. № 2)
Примечание: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
2. Баллы за участие даются только при отсутствии победителей и призеров</t>
  </si>
  <si>
    <t xml:space="preserve">Разработка программно-методического сопровождения образовательного процесса </t>
  </si>
  <si>
    <t>Не  
разрабатывает</t>
  </si>
  <si>
    <t>Личное участие в концертной деятельности</t>
  </si>
  <si>
    <t>Муниципальный/
региональный
уровень</t>
  </si>
  <si>
    <t>Участие в деятельности экспертных групп, комиссий, профессиональных ассоциаций (ПА), жюри профессиональных конкурсов и др.</t>
  </si>
  <si>
    <t>Руководство методическими объединениями/ комиссиями</t>
  </si>
  <si>
    <t>3.3.10.</t>
  </si>
  <si>
    <t>Продуктивность деятельности педагогического работника по развитию 
обучающихся/воспитанников</t>
  </si>
  <si>
    <t># 4</t>
  </si>
  <si>
    <t>об уровне квалификации педагогического работника (музыкальный руководитель) 
государственных, муниципальных и частных организаций Московской области, 
осуществляющих образовательную деятельность</t>
  </si>
  <si>
    <t xml:space="preserve"> Уровень квалификации</t>
  </si>
  <si>
    <t>Должность</t>
  </si>
  <si>
    <t xml:space="preserve">ссылка </t>
  </si>
  <si>
    <t>Информация для …</t>
  </si>
  <si>
    <t xml:space="preserve"> государственных, муниципальных и частных образовательных организаций 
Московской области
</t>
  </si>
  <si>
    <t>Повышение квалификации 
(курсы повышения квалификации, стажировка)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</si>
  <si>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</si>
  <si>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 xml:space="preserve"> - - - -  - - - -  - - - -  - - - -  - - - -  - - - -  - - - -  - - - -  
 музыкального руководителя
 - - - -  - - - -  - - - -  - - - -  - - - -  - - - -  - - - -  - - - -  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</si>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</sst>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7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8"/>
      <name val="Tahoma"/>
      <family val="2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i/>
      <sz val="9"/>
      <color indexed="36"/>
      <name val="Arial Cyr"/>
      <family val="0"/>
    </font>
    <font>
      <b/>
      <i/>
      <sz val="9"/>
      <color indexed="12"/>
      <name val="Arial Cyr"/>
      <family val="0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30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color indexed="9"/>
      <name val="Times New Roman"/>
      <family val="1"/>
    </font>
    <font>
      <u val="single"/>
      <sz val="8"/>
      <color indexed="18"/>
      <name val="Arial Cyr"/>
      <family val="0"/>
    </font>
    <font>
      <b/>
      <sz val="11"/>
      <color indexed="22"/>
      <name val="Times New Roman"/>
      <family val="1"/>
    </font>
    <font>
      <sz val="9"/>
      <color indexed="10"/>
      <name val="Arial Cyr"/>
      <family val="0"/>
    </font>
    <font>
      <sz val="8"/>
      <color indexed="10"/>
      <name val="Adobe Arabic"/>
      <family val="1"/>
    </font>
    <font>
      <i/>
      <sz val="10"/>
      <color indexed="10"/>
      <name val="Times New Roman"/>
      <family val="1"/>
    </font>
    <font>
      <i/>
      <sz val="8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Arial"/>
      <family val="2"/>
    </font>
    <font>
      <vertAlign val="superscript"/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7"/>
      <color indexed="10"/>
      <name val="Arial Cyr"/>
      <family val="0"/>
    </font>
    <font>
      <sz val="7"/>
      <color indexed="36"/>
      <name val="Arial Cyr"/>
      <family val="0"/>
    </font>
    <font>
      <sz val="8"/>
      <color indexed="53"/>
      <name val="Arial Cyr"/>
      <family val="0"/>
    </font>
    <font>
      <sz val="10"/>
      <color indexed="53"/>
      <name val="Times New Roman"/>
      <family val="1"/>
    </font>
    <font>
      <sz val="8"/>
      <color indexed="44"/>
      <name val="Times New Roman"/>
      <family val="1"/>
    </font>
    <font>
      <sz val="10"/>
      <color indexed="63"/>
      <name val="Times New Roman"/>
      <family val="1"/>
    </font>
    <font>
      <b/>
      <u val="single"/>
      <sz val="11"/>
      <color indexed="60"/>
      <name val="Arial"/>
      <family val="2"/>
    </font>
    <font>
      <b/>
      <i/>
      <u val="single"/>
      <sz val="9"/>
      <color indexed="12"/>
      <name val="Arial Cyr"/>
      <family val="0"/>
    </font>
    <font>
      <b/>
      <sz val="10"/>
      <color indexed="22"/>
      <name val="Times New Roman"/>
      <family val="1"/>
    </font>
    <font>
      <sz val="11"/>
      <color indexed="22"/>
      <name val="Times New Roman"/>
      <family val="1"/>
    </font>
    <font>
      <i/>
      <sz val="10"/>
      <color indexed="22"/>
      <name val="Times New Roman"/>
      <family val="1"/>
    </font>
    <font>
      <b/>
      <sz val="11"/>
      <color indexed="22"/>
      <name val="Arial"/>
      <family val="2"/>
    </font>
    <font>
      <i/>
      <sz val="9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i/>
      <sz val="9"/>
      <color rgb="FF7030A0"/>
      <name val="Arial Cyr"/>
      <family val="0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8"/>
      <color rgb="FF0000CC"/>
      <name val="Arial Cyr"/>
      <family val="0"/>
    </font>
    <font>
      <sz val="10"/>
      <color rgb="FF0000CC"/>
      <name val="Arial Cyr"/>
      <family val="0"/>
    </font>
    <font>
      <b/>
      <u val="single"/>
      <sz val="10"/>
      <color rgb="FFFF0000"/>
      <name val="Arial Cyr"/>
      <family val="0"/>
    </font>
    <font>
      <b/>
      <sz val="10"/>
      <color rgb="FF0000FF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sz val="12"/>
      <color theme="0"/>
      <name val="Times New Roman"/>
      <family val="1"/>
    </font>
    <font>
      <sz val="11"/>
      <color rgb="FF333399"/>
      <name val="Times New Roman"/>
      <family val="1"/>
    </font>
    <font>
      <u val="single"/>
      <sz val="8"/>
      <color rgb="FF000080"/>
      <name val="Arial Cyr"/>
      <family val="0"/>
    </font>
    <font>
      <b/>
      <sz val="11"/>
      <color theme="2" tint="-0.09996999800205231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Adobe Arabic"/>
      <family val="1"/>
    </font>
    <font>
      <i/>
      <sz val="10"/>
      <color rgb="FFFF0000"/>
      <name val="Times New Roman"/>
      <family val="1"/>
    </font>
    <font>
      <i/>
      <sz val="8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vertAlign val="superscript"/>
      <sz val="9"/>
      <color rgb="FFFF0000"/>
      <name val="Times New Roman"/>
      <family val="1"/>
    </font>
    <font>
      <sz val="10.5"/>
      <color rgb="FFFF0000"/>
      <name val="Times New Roman"/>
      <family val="1"/>
    </font>
    <font>
      <sz val="7"/>
      <color rgb="FFFF0000"/>
      <name val="Arial Cyr"/>
      <family val="0"/>
    </font>
    <font>
      <sz val="7"/>
      <color rgb="FF7030A0"/>
      <name val="Arial Cyr"/>
      <family val="0"/>
    </font>
    <font>
      <sz val="8"/>
      <color theme="5" tint="-0.24997000396251678"/>
      <name val="Arial Cyr"/>
      <family val="0"/>
    </font>
    <font>
      <sz val="10"/>
      <color theme="5" tint="-0.24997000396251678"/>
      <name val="Times New Roman"/>
      <family val="1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b/>
      <u val="single"/>
      <sz val="11"/>
      <color rgb="FFC00000"/>
      <name val="Arial"/>
      <family val="2"/>
    </font>
    <font>
      <sz val="10"/>
      <color theme="1" tint="0.34999001026153564"/>
      <name val="Times New Roman"/>
      <family val="1"/>
    </font>
    <font>
      <sz val="8"/>
      <color theme="4" tint="0.39998000860214233"/>
      <name val="Times New Roman"/>
      <family val="1"/>
    </font>
    <font>
      <i/>
      <sz val="9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  <font>
      <sz val="11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  <font>
      <b/>
      <sz val="10"/>
      <color theme="2" tint="-0.0999699980020523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dashed">
        <color rgb="FF00B0F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2" fillId="2" borderId="0" applyNumberFormat="0" applyBorder="0" applyAlignment="0" applyProtection="0"/>
    <xf numFmtId="0" fontId="192" fillId="3" borderId="0" applyNumberFormat="0" applyBorder="0" applyAlignment="0" applyProtection="0"/>
    <xf numFmtId="0" fontId="192" fillId="4" borderId="0" applyNumberFormat="0" applyBorder="0" applyAlignment="0" applyProtection="0"/>
    <xf numFmtId="0" fontId="192" fillId="5" borderId="0" applyNumberFormat="0" applyBorder="0" applyAlignment="0" applyProtection="0"/>
    <xf numFmtId="0" fontId="192" fillId="6" borderId="0" applyNumberFormat="0" applyBorder="0" applyAlignment="0" applyProtection="0"/>
    <xf numFmtId="0" fontId="192" fillId="7" borderId="0" applyNumberFormat="0" applyBorder="0" applyAlignment="0" applyProtection="0"/>
    <xf numFmtId="0" fontId="192" fillId="8" borderId="0" applyNumberFormat="0" applyBorder="0" applyAlignment="0" applyProtection="0"/>
    <xf numFmtId="0" fontId="192" fillId="9" borderId="0" applyNumberFormat="0" applyBorder="0" applyAlignment="0" applyProtection="0"/>
    <xf numFmtId="0" fontId="192" fillId="10" borderId="0" applyNumberFormat="0" applyBorder="0" applyAlignment="0" applyProtection="0"/>
    <xf numFmtId="0" fontId="192" fillId="11" borderId="0" applyNumberFormat="0" applyBorder="0" applyAlignment="0" applyProtection="0"/>
    <xf numFmtId="0" fontId="192" fillId="12" borderId="0" applyNumberFormat="0" applyBorder="0" applyAlignment="0" applyProtection="0"/>
    <xf numFmtId="0" fontId="192" fillId="13" borderId="0" applyNumberFormat="0" applyBorder="0" applyAlignment="0" applyProtection="0"/>
    <xf numFmtId="0" fontId="193" fillId="14" borderId="0" applyNumberFormat="0" applyBorder="0" applyAlignment="0" applyProtection="0"/>
    <xf numFmtId="0" fontId="193" fillId="15" borderId="0" applyNumberFormat="0" applyBorder="0" applyAlignment="0" applyProtection="0"/>
    <xf numFmtId="0" fontId="193" fillId="16" borderId="0" applyNumberFormat="0" applyBorder="0" applyAlignment="0" applyProtection="0"/>
    <xf numFmtId="0" fontId="193" fillId="17" borderId="0" applyNumberFormat="0" applyBorder="0" applyAlignment="0" applyProtection="0"/>
    <xf numFmtId="0" fontId="193" fillId="18" borderId="0" applyNumberFormat="0" applyBorder="0" applyAlignment="0" applyProtection="0"/>
    <xf numFmtId="0" fontId="193" fillId="19" borderId="0" applyNumberFormat="0" applyBorder="0" applyAlignment="0" applyProtection="0"/>
    <xf numFmtId="0" fontId="193" fillId="20" borderId="0" applyNumberFormat="0" applyBorder="0" applyAlignment="0" applyProtection="0"/>
    <xf numFmtId="0" fontId="193" fillId="21" borderId="0" applyNumberFormat="0" applyBorder="0" applyAlignment="0" applyProtection="0"/>
    <xf numFmtId="0" fontId="193" fillId="22" borderId="0" applyNumberFormat="0" applyBorder="0" applyAlignment="0" applyProtection="0"/>
    <xf numFmtId="0" fontId="193" fillId="23" borderId="0" applyNumberFormat="0" applyBorder="0" applyAlignment="0" applyProtection="0"/>
    <xf numFmtId="0" fontId="193" fillId="24" borderId="0" applyNumberFormat="0" applyBorder="0" applyAlignment="0" applyProtection="0"/>
    <xf numFmtId="0" fontId="193" fillId="25" borderId="0" applyNumberFormat="0" applyBorder="0" applyAlignment="0" applyProtection="0"/>
    <xf numFmtId="0" fontId="194" fillId="26" borderId="1" applyNumberFormat="0" applyAlignment="0" applyProtection="0"/>
    <xf numFmtId="0" fontId="195" fillId="27" borderId="2" applyNumberFormat="0" applyAlignment="0" applyProtection="0"/>
    <xf numFmtId="0" fontId="19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7" fillId="0" borderId="3" applyNumberFormat="0" applyFill="0" applyAlignment="0" applyProtection="0"/>
    <xf numFmtId="0" fontId="198" fillId="0" borderId="4" applyNumberFormat="0" applyFill="0" applyAlignment="0" applyProtection="0"/>
    <xf numFmtId="0" fontId="199" fillId="0" borderId="5" applyNumberFormat="0" applyFill="0" applyAlignment="0" applyProtection="0"/>
    <xf numFmtId="0" fontId="199" fillId="0" borderId="0" applyNumberFormat="0" applyFill="0" applyBorder="0" applyAlignment="0" applyProtection="0"/>
    <xf numFmtId="0" fontId="200" fillId="0" borderId="6" applyNumberFormat="0" applyFill="0" applyAlignment="0" applyProtection="0"/>
    <xf numFmtId="0" fontId="201" fillId="28" borderId="7" applyNumberFormat="0" applyAlignment="0" applyProtection="0"/>
    <xf numFmtId="0" fontId="202" fillId="0" borderId="0" applyNumberFormat="0" applyFill="0" applyBorder="0" applyAlignment="0" applyProtection="0"/>
    <xf numFmtId="0" fontId="20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4" fillId="0" borderId="0" applyNumberFormat="0" applyFill="0" applyBorder="0" applyAlignment="0" applyProtection="0"/>
    <xf numFmtId="0" fontId="205" fillId="30" borderId="0" applyNumberFormat="0" applyBorder="0" applyAlignment="0" applyProtection="0"/>
    <xf numFmtId="0" fontId="20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07" fillId="0" borderId="9" applyNumberFormat="0" applyFill="0" applyAlignment="0" applyProtection="0"/>
    <xf numFmtId="0" fontId="20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9" fillId="32" borderId="0" applyNumberFormat="0" applyBorder="0" applyAlignment="0" applyProtection="0"/>
  </cellStyleXfs>
  <cellXfs count="106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17" fillId="0" borderId="0" xfId="0" applyFont="1" applyFill="1" applyBorder="1" applyAlignment="1" applyProtection="1">
      <alignment horizontal="right" vertical="top"/>
      <protection hidden="1"/>
    </xf>
    <xf numFmtId="0" fontId="18" fillId="34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8" fillId="35" borderId="13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20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left" vertical="top" indent="1"/>
      <protection hidden="1"/>
    </xf>
    <xf numFmtId="0" fontId="17" fillId="0" borderId="0" xfId="0" applyFont="1" applyFill="1" applyBorder="1" applyAlignment="1" applyProtection="1">
      <alignment horizontal="left" vertical="top" indent="1"/>
      <protection hidden="1"/>
    </xf>
    <xf numFmtId="0" fontId="1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12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6" fillId="0" borderId="12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horizontal="left" vertical="top" indent="1"/>
      <protection hidden="1"/>
    </xf>
    <xf numFmtId="3" fontId="29" fillId="0" borderId="0" xfId="0" applyNumberFormat="1" applyFont="1" applyFill="1" applyBorder="1" applyAlignment="1" applyProtection="1">
      <alignment vertical="top"/>
      <protection hidden="1"/>
    </xf>
    <xf numFmtId="3" fontId="30" fillId="0" borderId="0" xfId="0" applyNumberFormat="1" applyFont="1" applyFill="1" applyBorder="1" applyAlignment="1" applyProtection="1">
      <alignment horizontal="left" vertical="top" indent="1"/>
      <protection hidden="1"/>
    </xf>
    <xf numFmtId="0" fontId="19" fillId="34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hidden="1"/>
    </xf>
    <xf numFmtId="0" fontId="31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36" borderId="12" xfId="0" applyFill="1" applyBorder="1" applyAlignment="1" applyProtection="1">
      <alignment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2" fillId="34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0" fontId="12" fillId="0" borderId="12" xfId="0" applyFont="1" applyFill="1" applyBorder="1" applyAlignment="1" applyProtection="1">
      <alignment/>
      <protection hidden="1"/>
    </xf>
    <xf numFmtId="164" fontId="32" fillId="34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4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7" borderId="0" xfId="0" applyFont="1" applyFill="1" applyAlignment="1" applyProtection="1">
      <alignment horizontal="center"/>
      <protection hidden="1"/>
    </xf>
    <xf numFmtId="0" fontId="37" fillId="37" borderId="0" xfId="0" applyFont="1" applyFill="1" applyBorder="1" applyAlignment="1" applyProtection="1">
      <alignment vertical="top"/>
      <protection hidden="1"/>
    </xf>
    <xf numFmtId="1" fontId="18" fillId="38" borderId="14" xfId="0" applyNumberFormat="1" applyFont="1" applyFill="1" applyBorder="1" applyAlignment="1" applyProtection="1">
      <alignment horizontal="left" vertical="center" indent="1"/>
      <protection locked="0"/>
    </xf>
    <xf numFmtId="0" fontId="38" fillId="36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4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Font="1" applyBorder="1" applyAlignment="1" applyProtection="1">
      <alignment/>
      <protection hidden="1"/>
    </xf>
    <xf numFmtId="0" fontId="39" fillId="0" borderId="12" xfId="0" applyFont="1" applyFill="1" applyBorder="1" applyAlignment="1" applyProtection="1">
      <alignment horizontal="center" vertical="top" wrapText="1"/>
      <protection hidden="1"/>
    </xf>
    <xf numFmtId="0" fontId="18" fillId="0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left" vertical="top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" fontId="18" fillId="38" borderId="14" xfId="0" applyNumberFormat="1" applyFont="1" applyFill="1" applyBorder="1" applyAlignment="1" applyProtection="1">
      <alignment horizontal="center" vertical="center"/>
      <protection locked="0"/>
    </xf>
    <xf numFmtId="0" fontId="38" fillId="36" borderId="0" xfId="0" applyFont="1" applyFill="1" applyAlignment="1" applyProtection="1">
      <alignment horizontal="left" indent="1"/>
      <protection hidden="1"/>
    </xf>
    <xf numFmtId="0" fontId="22" fillId="0" borderId="12" xfId="0" applyFont="1" applyFill="1" applyBorder="1" applyAlignment="1" applyProtection="1">
      <alignment horizontal="center" vertical="top"/>
      <protection hidden="1"/>
    </xf>
    <xf numFmtId="0" fontId="37" fillId="0" borderId="0" xfId="0" applyFont="1" applyFill="1" applyBorder="1" applyAlignment="1" applyProtection="1">
      <alignment vertical="top"/>
      <protection hidden="1"/>
    </xf>
    <xf numFmtId="0" fontId="44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4" fillId="0" borderId="0" xfId="0" applyFont="1" applyFill="1" applyBorder="1" applyAlignment="1" applyProtection="1">
      <alignment vertical="top"/>
      <protection hidden="1"/>
    </xf>
    <xf numFmtId="0" fontId="22" fillId="0" borderId="12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13" xfId="0" applyFont="1" applyFill="1" applyBorder="1" applyAlignment="1" applyProtection="1">
      <alignment vertical="top" wrapText="1"/>
      <protection hidden="1"/>
    </xf>
    <xf numFmtId="1" fontId="45" fillId="0" borderId="0" xfId="0" applyNumberFormat="1" applyFont="1" applyFill="1" applyBorder="1" applyAlignment="1" applyProtection="1">
      <alignment horizontal="center" vertical="top"/>
      <protection locked="0"/>
    </xf>
    <xf numFmtId="0" fontId="46" fillId="0" borderId="12" xfId="0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 horizontal="left" vertical="top" indent="1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41" fillId="0" borderId="13" xfId="0" applyFont="1" applyFill="1" applyBorder="1" applyAlignment="1" applyProtection="1">
      <alignment vertical="top"/>
      <protection hidden="1"/>
    </xf>
    <xf numFmtId="1" fontId="19" fillId="34" borderId="14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left" vertical="top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right" vertical="top" indent="1"/>
      <protection hidden="1"/>
    </xf>
    <xf numFmtId="0" fontId="17" fillId="0" borderId="0" xfId="0" applyFont="1" applyFill="1" applyBorder="1" applyAlignment="1" applyProtection="1">
      <alignment horizontal="right" vertical="top" indent="1"/>
      <protection hidden="1"/>
    </xf>
    <xf numFmtId="0" fontId="18" fillId="0" borderId="13" xfId="0" applyFont="1" applyFill="1" applyBorder="1" applyAlignment="1" applyProtection="1">
      <alignment vertical="top"/>
      <protection hidden="1"/>
    </xf>
    <xf numFmtId="1" fontId="19" fillId="34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Border="1" applyAlignment="1" applyProtection="1">
      <alignment/>
      <protection hidden="1"/>
    </xf>
    <xf numFmtId="0" fontId="50" fillId="34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9" fillId="35" borderId="13" xfId="0" applyFont="1" applyFill="1" applyBorder="1" applyAlignment="1" applyProtection="1">
      <alignment horizontal="center" vertical="top" wrapText="1"/>
      <protection hidden="1"/>
    </xf>
    <xf numFmtId="0" fontId="50" fillId="33" borderId="0" xfId="0" applyFont="1" applyFill="1" applyBorder="1" applyAlignment="1" applyProtection="1">
      <alignment horizontal="left" vertical="top"/>
      <protection hidden="1"/>
    </xf>
    <xf numFmtId="0" fontId="50" fillId="0" borderId="0" xfId="0" applyFont="1" applyBorder="1" applyAlignment="1" applyProtection="1">
      <alignment horizontal="left" vertical="top"/>
      <protection hidden="1"/>
    </xf>
    <xf numFmtId="0" fontId="52" fillId="0" borderId="18" xfId="0" applyFont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8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7" fillId="0" borderId="12" xfId="0" applyFont="1" applyBorder="1" applyAlignment="1" applyProtection="1">
      <alignment horizontal="left" vertical="top" indent="5"/>
      <protection hidden="1"/>
    </xf>
    <xf numFmtId="0" fontId="18" fillId="0" borderId="12" xfId="0" applyFont="1" applyBorder="1" applyAlignment="1" applyProtection="1">
      <alignment horizontal="left" vertical="top"/>
      <protection hidden="1"/>
    </xf>
    <xf numFmtId="0" fontId="17" fillId="0" borderId="13" xfId="0" applyFont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12" xfId="0" applyFont="1" applyBorder="1" applyAlignment="1" applyProtection="1">
      <alignment horizontal="left" vertical="top" indent="1"/>
      <protection hidden="1"/>
    </xf>
    <xf numFmtId="0" fontId="19" fillId="0" borderId="13" xfId="0" applyFont="1" applyFill="1" applyBorder="1" applyAlignment="1" applyProtection="1">
      <alignment horizontal="left" vertical="top" indent="1"/>
      <protection locked="0"/>
    </xf>
    <xf numFmtId="0" fontId="19" fillId="0" borderId="0" xfId="0" applyFont="1" applyFill="1" applyBorder="1" applyAlignment="1" applyProtection="1">
      <alignment horizontal="left" vertical="top" indent="1"/>
      <protection locked="0"/>
    </xf>
    <xf numFmtId="0" fontId="54" fillId="0" borderId="0" xfId="0" applyFont="1" applyBorder="1" applyAlignment="1" applyProtection="1">
      <alignment/>
      <protection hidden="1"/>
    </xf>
    <xf numFmtId="0" fontId="54" fillId="0" borderId="13" xfId="0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left" indent="1"/>
      <protection hidden="1"/>
    </xf>
    <xf numFmtId="0" fontId="17" fillId="0" borderId="12" xfId="0" applyFont="1" applyFill="1" applyBorder="1" applyAlignment="1" applyProtection="1">
      <alignment horizontal="left" vertical="top"/>
      <protection hidden="1"/>
    </xf>
    <xf numFmtId="0" fontId="55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9" fillId="0" borderId="12" xfId="0" applyFont="1" applyFill="1" applyBorder="1" applyAlignment="1" applyProtection="1">
      <alignment horizontal="right"/>
      <protection hidden="1"/>
    </xf>
    <xf numFmtId="1" fontId="52" fillId="0" borderId="0" xfId="0" applyNumberFormat="1" applyFont="1" applyBorder="1" applyAlignment="1" applyProtection="1">
      <alignment horizontal="right"/>
      <protection hidden="1"/>
    </xf>
    <xf numFmtId="1" fontId="52" fillId="0" borderId="0" xfId="0" applyNumberFormat="1" applyFont="1" applyBorder="1" applyAlignment="1" applyProtection="1">
      <alignment horizontal="left"/>
      <protection hidden="1"/>
    </xf>
    <xf numFmtId="1" fontId="57" fillId="0" borderId="0" xfId="0" applyNumberFormat="1" applyFont="1" applyBorder="1" applyAlignment="1" applyProtection="1">
      <alignment horizontal="center"/>
      <protection hidden="1"/>
    </xf>
    <xf numFmtId="1" fontId="55" fillId="0" borderId="0" xfId="0" applyNumberFormat="1" applyFont="1" applyBorder="1" applyAlignment="1" applyProtection="1">
      <alignment horizontal="right"/>
      <protection hidden="1"/>
    </xf>
    <xf numFmtId="1" fontId="58" fillId="0" borderId="0" xfId="0" applyNumberFormat="1" applyFont="1" applyBorder="1" applyAlignment="1" applyProtection="1">
      <alignment horizontal="left"/>
      <protection hidden="1"/>
    </xf>
    <xf numFmtId="1" fontId="58" fillId="0" borderId="13" xfId="0" applyNumberFormat="1" applyFont="1" applyFill="1" applyBorder="1" applyAlignment="1" applyProtection="1">
      <alignment horizontal="left"/>
      <protection hidden="1"/>
    </xf>
    <xf numFmtId="1" fontId="58" fillId="0" borderId="0" xfId="0" applyNumberFormat="1" applyFont="1" applyFill="1" applyBorder="1" applyAlignment="1" applyProtection="1">
      <alignment horizontal="left"/>
      <protection hidden="1"/>
    </xf>
    <xf numFmtId="0" fontId="18" fillId="35" borderId="19" xfId="0" applyFont="1" applyFill="1" applyBorder="1" applyAlignment="1" applyProtection="1">
      <alignment horizontal="center" vertical="top"/>
      <protection hidden="1"/>
    </xf>
    <xf numFmtId="0" fontId="36" fillId="0" borderId="0" xfId="0" applyFont="1" applyBorder="1" applyAlignment="1" applyProtection="1">
      <alignment/>
      <protection hidden="1"/>
    </xf>
    <xf numFmtId="0" fontId="55" fillId="0" borderId="0" xfId="0" applyFont="1" applyBorder="1" applyAlignment="1" applyProtection="1">
      <alignment horizontal="right"/>
      <protection hidden="1"/>
    </xf>
    <xf numFmtId="0" fontId="55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0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60" fillId="0" borderId="0" xfId="42" applyFont="1" applyFill="1" applyAlignment="1" applyProtection="1">
      <alignment vertical="center"/>
      <protection hidden="1"/>
    </xf>
    <xf numFmtId="0" fontId="52" fillId="0" borderId="0" xfId="0" applyFont="1" applyFill="1" applyAlignment="1" applyProtection="1">
      <alignment/>
      <protection hidden="1"/>
    </xf>
    <xf numFmtId="0" fontId="50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3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60" fillId="0" borderId="0" xfId="42" applyFont="1" applyFill="1" applyBorder="1" applyAlignment="1" applyProtection="1">
      <alignment vertical="center"/>
      <protection hidden="1"/>
    </xf>
    <xf numFmtId="0" fontId="0" fillId="40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5" fillId="0" borderId="0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34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3" fillId="0" borderId="0" xfId="0" applyFont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horizontal="right" wrapText="1"/>
      <protection hidden="1"/>
    </xf>
    <xf numFmtId="0" fontId="76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3" fillId="0" borderId="14" xfId="0" applyFont="1" applyBorder="1" applyAlignment="1" applyProtection="1">
      <alignment/>
      <protection hidden="1"/>
    </xf>
    <xf numFmtId="0" fontId="77" fillId="0" borderId="14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 horizontal="left" vertical="top"/>
      <protection hidden="1"/>
    </xf>
    <xf numFmtId="0" fontId="80" fillId="0" borderId="0" xfId="0" applyFont="1" applyBorder="1" applyAlignment="1" applyProtection="1">
      <alignment horizontal="center" vertical="top"/>
      <protection hidden="1"/>
    </xf>
    <xf numFmtId="0" fontId="82" fillId="38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3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 locked="0"/>
    </xf>
    <xf numFmtId="0" fontId="87" fillId="0" borderId="0" xfId="0" applyFont="1" applyAlignment="1" applyProtection="1">
      <alignment/>
      <protection hidden="1"/>
    </xf>
    <xf numFmtId="0" fontId="74" fillId="0" borderId="0" xfId="0" applyFont="1" applyBorder="1" applyAlignment="1" applyProtection="1">
      <alignment vertical="top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74" fillId="0" borderId="0" xfId="0" applyFont="1" applyBorder="1" applyAlignment="1" applyProtection="1">
      <alignment horizontal="left" vertical="top" wrapText="1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18" fillId="0" borderId="0" xfId="0" applyFont="1" applyBorder="1" applyAlignment="1" applyProtection="1">
      <alignment horizontal="left" indent="1"/>
      <protection hidden="1"/>
    </xf>
    <xf numFmtId="0" fontId="18" fillId="0" borderId="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2" fillId="0" borderId="0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vertical="top"/>
      <protection hidden="1"/>
    </xf>
    <xf numFmtId="0" fontId="75" fillId="0" borderId="0" xfId="0" applyFont="1" applyAlignment="1" applyProtection="1">
      <alignment vertical="top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48" fillId="0" borderId="0" xfId="0" applyFont="1" applyBorder="1" applyAlignment="1" applyProtection="1">
      <alignment/>
      <protection hidden="1"/>
    </xf>
    <xf numFmtId="0" fontId="35" fillId="0" borderId="14" xfId="0" applyFont="1" applyBorder="1" applyAlignment="1" applyProtection="1">
      <alignment/>
      <protection hidden="1"/>
    </xf>
    <xf numFmtId="0" fontId="18" fillId="38" borderId="14" xfId="0" applyFont="1" applyFill="1" applyBorder="1" applyAlignment="1" applyProtection="1">
      <alignment horizontal="center" vertical="center"/>
      <protection locked="0"/>
    </xf>
    <xf numFmtId="0" fontId="18" fillId="34" borderId="22" xfId="0" applyFont="1" applyFill="1" applyBorder="1" applyAlignment="1" applyProtection="1">
      <alignment horizontal="center" vertical="center"/>
      <protection locked="0"/>
    </xf>
    <xf numFmtId="0" fontId="35" fillId="0" borderId="14" xfId="0" applyFont="1" applyBorder="1" applyAlignment="1" applyProtection="1">
      <alignment horizontal="left" indent="1"/>
      <protection hidden="1"/>
    </xf>
    <xf numFmtId="0" fontId="92" fillId="0" borderId="17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indent="1"/>
      <protection hidden="1"/>
    </xf>
    <xf numFmtId="3" fontId="74" fillId="0" borderId="0" xfId="0" applyNumberFormat="1" applyFont="1" applyAlignment="1" applyProtection="1">
      <alignment vertical="top" wrapText="1"/>
      <protection hidden="1"/>
    </xf>
    <xf numFmtId="0" fontId="34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6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/>
      <protection hidden="1"/>
    </xf>
    <xf numFmtId="0" fontId="79" fillId="0" borderId="0" xfId="0" applyFont="1" applyAlignment="1" applyProtection="1">
      <alignment horizontal="left"/>
      <protection hidden="1"/>
    </xf>
    <xf numFmtId="0" fontId="71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3" fillId="34" borderId="0" xfId="0" applyFont="1" applyFill="1" applyBorder="1" applyAlignment="1" applyProtection="1">
      <alignment vertical="center"/>
      <protection hidden="1"/>
    </xf>
    <xf numFmtId="0" fontId="73" fillId="0" borderId="13" xfId="0" applyFont="1" applyBorder="1" applyAlignment="1" applyProtection="1">
      <alignment horizontal="right" vertical="center"/>
      <protection hidden="1"/>
    </xf>
    <xf numFmtId="0" fontId="73" fillId="33" borderId="23" xfId="0" applyFont="1" applyFill="1" applyBorder="1" applyAlignment="1" applyProtection="1">
      <alignment vertical="center"/>
      <protection hidden="1"/>
    </xf>
    <xf numFmtId="0" fontId="73" fillId="33" borderId="24" xfId="0" applyFont="1" applyFill="1" applyBorder="1" applyAlignment="1" applyProtection="1">
      <alignment vertical="center"/>
      <protection hidden="1"/>
    </xf>
    <xf numFmtId="0" fontId="73" fillId="33" borderId="22" xfId="0" applyFont="1" applyFill="1" applyBorder="1" applyAlignment="1" applyProtection="1">
      <alignment vertical="center"/>
      <protection hidden="1"/>
    </xf>
    <xf numFmtId="0" fontId="73" fillId="33" borderId="24" xfId="0" applyFont="1" applyFill="1" applyBorder="1" applyAlignment="1" applyProtection="1">
      <alignment/>
      <protection hidden="1"/>
    </xf>
    <xf numFmtId="0" fontId="73" fillId="34" borderId="20" xfId="0" applyFont="1" applyFill="1" applyBorder="1" applyAlignment="1" applyProtection="1">
      <alignment vertical="center"/>
      <protection hidden="1"/>
    </xf>
    <xf numFmtId="0" fontId="73" fillId="34" borderId="24" xfId="0" applyFont="1" applyFill="1" applyBorder="1" applyAlignment="1" applyProtection="1">
      <alignment/>
      <protection hidden="1"/>
    </xf>
    <xf numFmtId="0" fontId="71" fillId="0" borderId="23" xfId="0" applyFont="1" applyBorder="1" applyAlignment="1" applyProtection="1">
      <alignment vertical="center"/>
      <protection hidden="1"/>
    </xf>
    <xf numFmtId="0" fontId="71" fillId="0" borderId="22" xfId="0" applyFont="1" applyBorder="1" applyAlignment="1" applyProtection="1">
      <alignment horizontal="right" vertical="center"/>
      <protection hidden="1"/>
    </xf>
    <xf numFmtId="0" fontId="71" fillId="0" borderId="17" xfId="0" applyFont="1" applyBorder="1" applyAlignment="1" applyProtection="1">
      <alignment horizontal="left" vertical="center"/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35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33" fillId="0" borderId="0" xfId="0" applyFont="1" applyBorder="1" applyAlignment="1">
      <alignment horizontal="center" vertical="center"/>
    </xf>
    <xf numFmtId="0" fontId="74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5" fillId="0" borderId="2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33" fillId="0" borderId="0" xfId="0" applyFont="1" applyBorder="1" applyAlignment="1" applyProtection="1">
      <alignment horizontal="center" vertical="top"/>
      <protection hidden="1"/>
    </xf>
    <xf numFmtId="0" fontId="33" fillId="0" borderId="15" xfId="0" applyFont="1" applyBorder="1" applyAlignment="1" applyProtection="1">
      <alignment horizontal="center" vertical="top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10" fillId="0" borderId="0" xfId="0" applyFont="1" applyAlignment="1" applyProtection="1">
      <alignment horizontal="center"/>
      <protection hidden="1"/>
    </xf>
    <xf numFmtId="0" fontId="210" fillId="0" borderId="0" xfId="0" applyFont="1" applyAlignment="1" applyProtection="1">
      <alignment/>
      <protection hidden="1"/>
    </xf>
    <xf numFmtId="0" fontId="211" fillId="34" borderId="17" xfId="0" applyFont="1" applyFill="1" applyBorder="1" applyAlignment="1" applyProtection="1">
      <alignment horizontal="center"/>
      <protection hidden="1"/>
    </xf>
    <xf numFmtId="0" fontId="33" fillId="0" borderId="16" xfId="0" applyFont="1" applyBorder="1" applyAlignment="1" applyProtection="1">
      <alignment horizontal="center" vertical="top"/>
      <protection hidden="1"/>
    </xf>
    <xf numFmtId="0" fontId="33" fillId="0" borderId="25" xfId="0" applyFont="1" applyBorder="1" applyAlignment="1" applyProtection="1">
      <alignment horizontal="center" vertical="top"/>
      <protection hidden="1"/>
    </xf>
    <xf numFmtId="0" fontId="33" fillId="0" borderId="26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5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91" fillId="0" borderId="0" xfId="0" applyFont="1" applyBorder="1" applyAlignment="1" applyProtection="1">
      <alignment horizontal="center" vertical="center"/>
      <protection hidden="1"/>
    </xf>
    <xf numFmtId="49" fontId="86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35" fillId="36" borderId="17" xfId="0" applyFont="1" applyFill="1" applyBorder="1" applyAlignment="1" applyProtection="1">
      <alignment horizontal="center" vertical="center"/>
      <protection hidden="1"/>
    </xf>
    <xf numFmtId="0" fontId="35" fillId="41" borderId="17" xfId="0" applyFont="1" applyFill="1" applyBorder="1" applyAlignment="1" applyProtection="1">
      <alignment horizontal="center" vertical="center"/>
      <protection hidden="1"/>
    </xf>
    <xf numFmtId="0" fontId="211" fillId="42" borderId="17" xfId="0" applyFont="1" applyFill="1" applyBorder="1" applyAlignment="1" applyProtection="1">
      <alignment horizontal="center"/>
      <protection hidden="1"/>
    </xf>
    <xf numFmtId="0" fontId="35" fillId="36" borderId="0" xfId="0" applyFont="1" applyFill="1" applyAlignment="1" applyProtection="1">
      <alignment horizontal="right" vertical="center"/>
      <protection hidden="1"/>
    </xf>
    <xf numFmtId="0" fontId="84" fillId="0" borderId="0" xfId="0" applyFont="1" applyAlignment="1" applyProtection="1">
      <alignment horizontal="left" vertical="top" indent="1"/>
      <protection hidden="1"/>
    </xf>
    <xf numFmtId="0" fontId="84" fillId="0" borderId="14" xfId="0" applyFont="1" applyBorder="1" applyAlignment="1" applyProtection="1">
      <alignment horizontal="left" vertical="top" indent="1"/>
      <protection hidden="1"/>
    </xf>
    <xf numFmtId="0" fontId="8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5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3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5" fillId="0" borderId="0" xfId="0" applyFont="1" applyBorder="1" applyAlignment="1" applyProtection="1">
      <alignment horizontal="left" wrapText="1"/>
      <protection hidden="1"/>
    </xf>
    <xf numFmtId="0" fontId="210" fillId="0" borderId="0" xfId="0" applyFont="1" applyAlignment="1" applyProtection="1">
      <alignment horizontal="left"/>
      <protection hidden="1"/>
    </xf>
    <xf numFmtId="0" fontId="35" fillId="42" borderId="23" xfId="0" applyFont="1" applyFill="1" applyBorder="1" applyAlignment="1" applyProtection="1">
      <alignment horizontal="center" vertical="center"/>
      <protection hidden="1"/>
    </xf>
    <xf numFmtId="0" fontId="211" fillId="0" borderId="0" xfId="0" applyFont="1" applyFill="1" applyBorder="1" applyAlignment="1" applyProtection="1">
      <alignment horizontal="right"/>
      <protection hidden="1"/>
    </xf>
    <xf numFmtId="0" fontId="211" fillId="0" borderId="0" xfId="0" applyFont="1" applyFill="1" applyBorder="1" applyAlignment="1" applyProtection="1">
      <alignment horizontal="left"/>
      <protection hidden="1"/>
    </xf>
    <xf numFmtId="0" fontId="210" fillId="0" borderId="14" xfId="0" applyFont="1" applyBorder="1" applyAlignment="1" applyProtection="1">
      <alignment horizontal="right"/>
      <protection hidden="1"/>
    </xf>
    <xf numFmtId="0" fontId="210" fillId="0" borderId="14" xfId="0" applyFont="1" applyBorder="1" applyAlignment="1" applyProtection="1">
      <alignment horizontal="left"/>
      <protection hidden="1"/>
    </xf>
    <xf numFmtId="0" fontId="0" fillId="37" borderId="0" xfId="0" applyFill="1" applyAlignment="1" applyProtection="1">
      <alignment/>
      <protection hidden="1"/>
    </xf>
    <xf numFmtId="0" fontId="35" fillId="37" borderId="0" xfId="0" applyFont="1" applyFill="1" applyAlignment="1" applyProtection="1">
      <alignment horizontal="center"/>
      <protection hidden="1"/>
    </xf>
    <xf numFmtId="0" fontId="97" fillId="0" borderId="0" xfId="0" applyFont="1" applyAlignment="1">
      <alignment horizontal="left" vertical="top" wrapText="1"/>
    </xf>
    <xf numFmtId="0" fontId="74" fillId="0" borderId="0" xfId="0" applyFont="1" applyBorder="1" applyAlignment="1" applyProtection="1">
      <alignment horizontal="left" vertical="top" indent="1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49" fontId="0" fillId="0" borderId="26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3" fillId="0" borderId="22" xfId="0" applyFont="1" applyBorder="1" applyAlignment="1" applyProtection="1">
      <alignment vertical="top"/>
      <protection hidden="1"/>
    </xf>
    <xf numFmtId="0" fontId="60" fillId="33" borderId="0" xfId="42" applyFont="1" applyFill="1" applyBorder="1" applyAlignment="1" applyProtection="1">
      <alignment vertical="top"/>
      <protection hidden="1"/>
    </xf>
    <xf numFmtId="0" fontId="212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 vertical="top"/>
      <protection hidden="1"/>
    </xf>
    <xf numFmtId="0" fontId="75" fillId="0" borderId="0" xfId="0" applyFont="1" applyAlignment="1" applyProtection="1">
      <alignment horizontal="justify" vertical="top" wrapText="1"/>
      <protection hidden="1"/>
    </xf>
    <xf numFmtId="0" fontId="91" fillId="0" borderId="0" xfId="0" applyFont="1" applyAlignment="1" applyProtection="1">
      <alignment horizontal="left" vertical="center"/>
      <protection hidden="1"/>
    </xf>
    <xf numFmtId="0" fontId="213" fillId="0" borderId="0" xfId="0" applyFont="1" applyAlignment="1" applyProtection="1">
      <alignment/>
      <protection hidden="1"/>
    </xf>
    <xf numFmtId="0" fontId="35" fillId="40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3" borderId="17" xfId="0" applyFont="1" applyFill="1" applyBorder="1" applyAlignment="1" applyProtection="1">
      <alignment horizontal="left"/>
      <protection hidden="1"/>
    </xf>
    <xf numFmtId="17" fontId="72" fillId="44" borderId="0" xfId="0" applyNumberFormat="1" applyFont="1" applyFill="1" applyAlignment="1" applyProtection="1">
      <alignment vertical="top"/>
      <protection hidden="1"/>
    </xf>
    <xf numFmtId="0" fontId="214" fillId="0" borderId="0" xfId="0" applyFont="1" applyAlignment="1" applyProtection="1">
      <alignment/>
      <protection hidden="1"/>
    </xf>
    <xf numFmtId="0" fontId="215" fillId="38" borderId="0" xfId="54" applyFont="1" applyFill="1" applyBorder="1" applyAlignment="1" applyProtection="1">
      <alignment vertical="center"/>
      <protection hidden="1"/>
    </xf>
    <xf numFmtId="0" fontId="215" fillId="35" borderId="0" xfId="54" applyFont="1" applyFill="1" applyBorder="1" applyAlignment="1" applyProtection="1">
      <alignment vertical="center"/>
      <protection hidden="1"/>
    </xf>
    <xf numFmtId="0" fontId="215" fillId="45" borderId="0" xfId="54" applyFont="1" applyFill="1" applyBorder="1" applyAlignment="1" applyProtection="1">
      <alignment vertical="center"/>
      <protection hidden="1"/>
    </xf>
    <xf numFmtId="0" fontId="216" fillId="0" borderId="0" xfId="0" applyFont="1" applyFill="1" applyBorder="1" applyAlignment="1" applyProtection="1">
      <alignment/>
      <protection hidden="1"/>
    </xf>
    <xf numFmtId="0" fontId="216" fillId="46" borderId="0" xfId="0" applyFont="1" applyFill="1" applyAlignment="1" applyProtection="1">
      <alignment horizontal="right"/>
      <protection hidden="1"/>
    </xf>
    <xf numFmtId="0" fontId="73" fillId="34" borderId="0" xfId="0" applyFont="1" applyFill="1" applyBorder="1" applyAlignment="1" applyProtection="1">
      <alignment horizontal="center" vertical="center"/>
      <protection hidden="1"/>
    </xf>
    <xf numFmtId="0" fontId="73" fillId="34" borderId="0" xfId="0" applyFont="1" applyFill="1" applyBorder="1" applyAlignment="1" applyProtection="1">
      <alignment/>
      <protection hidden="1"/>
    </xf>
    <xf numFmtId="0" fontId="213" fillId="0" borderId="0" xfId="0" applyFont="1" applyBorder="1" applyAlignment="1" applyProtection="1">
      <alignment/>
      <protection hidden="1"/>
    </xf>
    <xf numFmtId="0" fontId="35" fillId="42" borderId="17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78" fillId="0" borderId="21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/>
      <protection hidden="1"/>
    </xf>
    <xf numFmtId="0" fontId="35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17" fillId="5" borderId="0" xfId="0" applyFont="1" applyFill="1" applyBorder="1" applyAlignment="1" applyProtection="1">
      <alignment horizontal="left" indent="2"/>
      <protection hidden="1"/>
    </xf>
    <xf numFmtId="0" fontId="35" fillId="0" borderId="22" xfId="0" applyFont="1" applyBorder="1" applyAlignment="1" applyProtection="1">
      <alignment vertical="top"/>
      <protection hidden="1"/>
    </xf>
    <xf numFmtId="0" fontId="218" fillId="0" borderId="0" xfId="0" applyFont="1" applyFill="1" applyBorder="1" applyAlignment="1" applyProtection="1">
      <alignment vertical="top"/>
      <protection/>
    </xf>
    <xf numFmtId="0" fontId="98" fillId="41" borderId="0" xfId="0" applyFont="1" applyFill="1" applyAlignment="1">
      <alignment/>
    </xf>
    <xf numFmtId="0" fontId="219" fillId="41" borderId="0" xfId="0" applyFont="1" applyFill="1" applyAlignment="1">
      <alignment/>
    </xf>
    <xf numFmtId="0" fontId="34" fillId="0" borderId="0" xfId="0" applyFont="1" applyBorder="1" applyAlignment="1" applyProtection="1">
      <alignment horizontal="left" indent="1"/>
      <protection hidden="1"/>
    </xf>
    <xf numFmtId="0" fontId="45" fillId="0" borderId="14" xfId="0" applyFont="1" applyBorder="1" applyAlignment="1" applyProtection="1">
      <alignment horizontal="left" indent="1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99" fillId="41" borderId="0" xfId="0" applyFont="1" applyFill="1" applyAlignment="1">
      <alignment/>
    </xf>
    <xf numFmtId="0" fontId="220" fillId="41" borderId="0" xfId="0" applyFont="1" applyFill="1" applyAlignment="1">
      <alignment/>
    </xf>
    <xf numFmtId="0" fontId="45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7" borderId="0" xfId="0" applyFont="1" applyFill="1" applyAlignment="1" applyProtection="1">
      <alignment/>
      <protection hidden="1"/>
    </xf>
    <xf numFmtId="0" fontId="34" fillId="37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right"/>
      <protection hidden="1"/>
    </xf>
    <xf numFmtId="0" fontId="221" fillId="34" borderId="12" xfId="0" applyFont="1" applyFill="1" applyBorder="1" applyAlignment="1" applyProtection="1">
      <alignment vertical="center"/>
      <protection hidden="1"/>
    </xf>
    <xf numFmtId="0" fontId="43" fillId="34" borderId="12" xfId="0" applyFont="1" applyFill="1" applyBorder="1" applyAlignment="1" applyProtection="1">
      <alignment vertical="center"/>
      <protection hidden="1"/>
    </xf>
    <xf numFmtId="0" fontId="222" fillId="34" borderId="12" xfId="0" applyFont="1" applyFill="1" applyBorder="1" applyAlignment="1" applyProtection="1">
      <alignment vertical="center"/>
      <protection hidden="1"/>
    </xf>
    <xf numFmtId="0" fontId="43" fillId="34" borderId="0" xfId="0" applyFont="1" applyFill="1" applyBorder="1" applyAlignment="1" applyProtection="1">
      <alignment vertical="center"/>
      <protection hidden="1"/>
    </xf>
    <xf numFmtId="0" fontId="214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13" fillId="34" borderId="0" xfId="0" applyFont="1" applyFill="1" applyBorder="1" applyAlignment="1" applyProtection="1">
      <alignment horizontal="center"/>
      <protection hidden="1"/>
    </xf>
    <xf numFmtId="0" fontId="34" fillId="47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12" fillId="0" borderId="0" xfId="0" applyFont="1" applyAlignment="1" applyProtection="1">
      <alignment horizontal="left"/>
      <protection hidden="1"/>
    </xf>
    <xf numFmtId="0" fontId="210" fillId="37" borderId="0" xfId="0" applyFont="1" applyFill="1" applyAlignment="1" applyProtection="1">
      <alignment horizontal="right"/>
      <protection hidden="1"/>
    </xf>
    <xf numFmtId="0" fontId="210" fillId="0" borderId="0" xfId="0" applyFont="1" applyFill="1" applyAlignment="1" applyProtection="1">
      <alignment horizontal="right"/>
      <protection hidden="1"/>
    </xf>
    <xf numFmtId="0" fontId="214" fillId="0" borderId="0" xfId="0" applyFont="1" applyAlignment="1" applyProtection="1">
      <alignment horizontal="center" vertical="center"/>
      <protection hidden="1"/>
    </xf>
    <xf numFmtId="0" fontId="223" fillId="3" borderId="0" xfId="0" applyFont="1" applyFill="1" applyAlignment="1" applyProtection="1">
      <alignment horizontal="center"/>
      <protection hidden="1"/>
    </xf>
    <xf numFmtId="0" fontId="42" fillId="48" borderId="11" xfId="0" applyFont="1" applyFill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2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0" fillId="0" borderId="0" xfId="0" applyFont="1" applyFill="1" applyAlignment="1" applyProtection="1">
      <alignment horizontal="left"/>
      <protection hidden="1"/>
    </xf>
    <xf numFmtId="0" fontId="214" fillId="0" borderId="0" xfId="0" applyFont="1" applyBorder="1" applyAlignment="1" applyProtection="1">
      <alignment horizontal="right" vertical="center"/>
      <protection hidden="1"/>
    </xf>
    <xf numFmtId="0" fontId="214" fillId="0" borderId="0" xfId="0" applyFont="1" applyBorder="1" applyAlignment="1" applyProtection="1">
      <alignment horizontal="left" vertical="center"/>
      <protection hidden="1"/>
    </xf>
    <xf numFmtId="0" fontId="224" fillId="0" borderId="0" xfId="0" applyFont="1" applyBorder="1" applyAlignment="1" applyProtection="1">
      <alignment horizontal="right" vertical="center"/>
      <protection hidden="1"/>
    </xf>
    <xf numFmtId="0" fontId="224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33" fillId="0" borderId="17" xfId="0" applyFont="1" applyBorder="1" applyAlignment="1" applyProtection="1">
      <alignment vertical="top" wrapText="1"/>
      <protection hidden="1"/>
    </xf>
    <xf numFmtId="0" fontId="35" fillId="0" borderId="17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225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4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9" fillId="0" borderId="12" xfId="0" applyFont="1" applyFill="1" applyBorder="1" applyAlignment="1" applyProtection="1">
      <alignment horizontal="center" wrapText="1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39" fillId="0" borderId="13" xfId="0" applyFont="1" applyFill="1" applyBorder="1" applyAlignment="1" applyProtection="1">
      <alignment horizontal="center" vertical="top" wrapText="1"/>
      <protection hidden="1"/>
    </xf>
    <xf numFmtId="0" fontId="50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8" fillId="35" borderId="0" xfId="0" applyFont="1" applyFill="1" applyBorder="1" applyAlignment="1" applyProtection="1">
      <alignment horizontal="left" vertical="center"/>
      <protection hidden="1"/>
    </xf>
    <xf numFmtId="0" fontId="85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vertical="top"/>
      <protection hidden="1"/>
    </xf>
    <xf numFmtId="49" fontId="86" fillId="0" borderId="14" xfId="0" applyNumberFormat="1" applyFont="1" applyBorder="1" applyAlignment="1" applyProtection="1">
      <alignment/>
      <protection hidden="1"/>
    </xf>
    <xf numFmtId="0" fontId="102" fillId="0" borderId="0" xfId="0" applyFont="1" applyAlignment="1" applyProtection="1">
      <alignment horizontal="left" vertical="top" indent="3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top"/>
      <protection hidden="1"/>
    </xf>
    <xf numFmtId="14" fontId="12" fillId="36" borderId="12" xfId="0" applyNumberFormat="1" applyFont="1" applyFill="1" applyBorder="1" applyAlignment="1" applyProtection="1">
      <alignment/>
      <protection hidden="1"/>
    </xf>
    <xf numFmtId="164" fontId="34" fillId="34" borderId="14" xfId="0" applyNumberFormat="1" applyFont="1" applyFill="1" applyBorder="1" applyAlignment="1" applyProtection="1">
      <alignment horizontal="center" vertical="center"/>
      <protection hidden="1" locked="0"/>
    </xf>
    <xf numFmtId="14" fontId="226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27" fillId="34" borderId="14" xfId="0" applyNumberFormat="1" applyFont="1" applyFill="1" applyBorder="1" applyAlignment="1" applyProtection="1">
      <alignment horizontal="center" vertical="center"/>
      <protection hidden="1" locked="0"/>
    </xf>
    <xf numFmtId="0" fontId="228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0" fillId="37" borderId="0" xfId="0" applyFont="1" applyFill="1" applyAlignment="1" applyProtection="1">
      <alignment horizontal="center"/>
      <protection hidden="1"/>
    </xf>
    <xf numFmtId="0" fontId="229" fillId="0" borderId="0" xfId="0" applyFont="1" applyFill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19" fillId="0" borderId="0" xfId="0" applyFont="1" applyFill="1" applyBorder="1" applyAlignment="1" applyProtection="1">
      <alignment horizontal="left" vertical="center" indent="1"/>
      <protection hidden="1"/>
    </xf>
    <xf numFmtId="0" fontId="18" fillId="35" borderId="0" xfId="0" applyFont="1" applyFill="1" applyBorder="1" applyAlignment="1" applyProtection="1">
      <alignment vertical="center"/>
      <protection hidden="1"/>
    </xf>
    <xf numFmtId="0" fontId="18" fillId="35" borderId="13" xfId="0" applyFont="1" applyFill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45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217" fillId="5" borderId="0" xfId="0" applyFont="1" applyFill="1" applyBorder="1" applyAlignment="1" applyProtection="1">
      <alignment horizontal="left"/>
      <protection hidden="1"/>
    </xf>
    <xf numFmtId="0" fontId="33" fillId="0" borderId="12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3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7" fillId="49" borderId="12" xfId="0" applyFont="1" applyFill="1" applyBorder="1" applyAlignment="1" applyProtection="1">
      <alignment horizontal="left" vertical="top" indent="1"/>
      <protection hidden="1"/>
    </xf>
    <xf numFmtId="0" fontId="4" fillId="33" borderId="11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4" fillId="33" borderId="11" xfId="0" applyFont="1" applyFill="1" applyBorder="1" applyAlignment="1" applyProtection="1">
      <alignment horizontal="left" vertical="top"/>
      <protection hidden="1"/>
    </xf>
    <xf numFmtId="0" fontId="230" fillId="49" borderId="0" xfId="0" applyFont="1" applyFill="1" applyBorder="1" applyAlignment="1" applyProtection="1">
      <alignment horizontal="center" vertical="center"/>
      <protection hidden="1"/>
    </xf>
    <xf numFmtId="0" fontId="230" fillId="49" borderId="0" xfId="0" applyFont="1" applyFill="1" applyBorder="1" applyAlignment="1" applyProtection="1">
      <alignment horizontal="center" vertical="top"/>
      <protection hidden="1"/>
    </xf>
    <xf numFmtId="0" fontId="18" fillId="49" borderId="13" xfId="0" applyFont="1" applyFill="1" applyBorder="1" applyAlignment="1" applyProtection="1">
      <alignment vertical="top"/>
      <protection hidden="1"/>
    </xf>
    <xf numFmtId="0" fontId="0" fillId="49" borderId="13" xfId="0" applyFill="1" applyBorder="1" applyAlignment="1" applyProtection="1">
      <alignment/>
      <protection hidden="1"/>
    </xf>
    <xf numFmtId="0" fontId="50" fillId="34" borderId="0" xfId="0" applyFont="1" applyFill="1" applyBorder="1" applyAlignment="1" applyProtection="1">
      <alignment wrapText="1"/>
      <protection hidden="1"/>
    </xf>
    <xf numFmtId="0" fontId="231" fillId="0" borderId="12" xfId="0" applyFont="1" applyBorder="1" applyAlignment="1" applyProtection="1">
      <alignment horizontal="left"/>
      <protection hidden="1"/>
    </xf>
    <xf numFmtId="0" fontId="229" fillId="50" borderId="0" xfId="0" applyFont="1" applyFill="1" applyAlignment="1" applyProtection="1">
      <alignment horizontal="left"/>
      <protection hidden="1"/>
    </xf>
    <xf numFmtId="0" fontId="232" fillId="49" borderId="20" xfId="0" applyFont="1" applyFill="1" applyBorder="1" applyAlignment="1" applyProtection="1">
      <alignment horizontal="center" vertical="center" wrapText="1"/>
      <protection hidden="1"/>
    </xf>
    <xf numFmtId="0" fontId="231" fillId="0" borderId="0" xfId="0" applyFont="1" applyBorder="1" applyAlignment="1" applyProtection="1">
      <alignment/>
      <protection hidden="1"/>
    </xf>
    <xf numFmtId="0" fontId="233" fillId="49" borderId="0" xfId="0" applyFont="1" applyFill="1" applyAlignment="1" applyProtection="1">
      <alignment horizontal="right"/>
      <protection hidden="1"/>
    </xf>
    <xf numFmtId="0" fontId="234" fillId="0" borderId="0" xfId="0" applyFont="1" applyBorder="1" applyAlignment="1" applyProtection="1">
      <alignment horizontal="left" vertical="top" wrapText="1" indent="1"/>
      <protection hidden="1"/>
    </xf>
    <xf numFmtId="0" fontId="235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94" fillId="0" borderId="23" xfId="0" applyFont="1" applyBorder="1" applyAlignment="1" applyProtection="1">
      <alignment vertical="top" wrapText="1"/>
      <protection hidden="1"/>
    </xf>
    <xf numFmtId="0" fontId="73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2" fillId="3" borderId="20" xfId="0" applyFont="1" applyFill="1" applyBorder="1" applyAlignment="1" applyProtection="1">
      <alignment horizontal="center" vertical="center" wrapText="1"/>
      <protection hidden="1"/>
    </xf>
    <xf numFmtId="0" fontId="229" fillId="0" borderId="0" xfId="0" applyFont="1" applyFill="1" applyAlignment="1" applyProtection="1">
      <alignment horizontal="center" vertical="top" wrapText="1"/>
      <protection hidden="1"/>
    </xf>
    <xf numFmtId="0" fontId="236" fillId="49" borderId="20" xfId="0" applyFont="1" applyFill="1" applyBorder="1" applyAlignment="1" applyProtection="1">
      <alignment horizontal="left" vertical="center"/>
      <protection hidden="1"/>
    </xf>
    <xf numFmtId="0" fontId="95" fillId="0" borderId="17" xfId="0" applyFont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235" fillId="0" borderId="29" xfId="0" applyFont="1" applyBorder="1" applyAlignment="1" applyProtection="1">
      <alignment vertical="top" wrapText="1"/>
      <protection hidden="1"/>
    </xf>
    <xf numFmtId="0" fontId="33" fillId="0" borderId="29" xfId="0" applyFont="1" applyBorder="1" applyAlignment="1" applyProtection="1">
      <alignment vertical="top" wrapText="1"/>
      <protection hidden="1"/>
    </xf>
    <xf numFmtId="0" fontId="12" fillId="0" borderId="29" xfId="0" applyFont="1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95" fillId="0" borderId="0" xfId="0" applyFont="1" applyBorder="1" applyAlignment="1" applyProtection="1">
      <alignment vertical="top" wrapText="1"/>
      <protection hidden="1"/>
    </xf>
    <xf numFmtId="0" fontId="235" fillId="0" borderId="0" xfId="0" applyFont="1" applyBorder="1" applyAlignment="1" applyProtection="1">
      <alignment vertical="top" wrapText="1"/>
      <protection hidden="1"/>
    </xf>
    <xf numFmtId="0" fontId="237" fillId="0" borderId="14" xfId="0" applyFont="1" applyBorder="1" applyAlignment="1" applyProtection="1">
      <alignment wrapText="1"/>
      <protection hidden="1"/>
    </xf>
    <xf numFmtId="0" fontId="101" fillId="37" borderId="24" xfId="0" applyFont="1" applyFill="1" applyBorder="1" applyAlignment="1" applyProtection="1">
      <alignment horizontal="center"/>
      <protection hidden="1"/>
    </xf>
    <xf numFmtId="0" fontId="237" fillId="0" borderId="22" xfId="0" applyFont="1" applyBorder="1" applyAlignment="1" applyProtection="1">
      <alignment wrapText="1"/>
      <protection hidden="1"/>
    </xf>
    <xf numFmtId="0" fontId="35" fillId="0" borderId="24" xfId="0" applyFont="1" applyBorder="1" applyAlignment="1" applyProtection="1">
      <alignment/>
      <protection hidden="1"/>
    </xf>
    <xf numFmtId="0" fontId="238" fillId="0" borderId="23" xfId="0" applyFont="1" applyBorder="1" applyAlignment="1" applyProtection="1">
      <alignment/>
      <protection hidden="1"/>
    </xf>
    <xf numFmtId="0" fontId="239" fillId="0" borderId="0" xfId="0" applyFont="1" applyAlignment="1" applyProtection="1">
      <alignment horizontal="right"/>
      <protection hidden="1"/>
    </xf>
    <xf numFmtId="0" fontId="240" fillId="0" borderId="0" xfId="0" applyFont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41" fillId="33" borderId="0" xfId="0" applyFont="1" applyFill="1" applyBorder="1" applyAlignment="1" applyProtection="1">
      <alignment horizontal="right"/>
      <protection hidden="1"/>
    </xf>
    <xf numFmtId="0" fontId="241" fillId="33" borderId="0" xfId="0" applyFont="1" applyFill="1" applyBorder="1" applyAlignment="1" applyProtection="1">
      <alignment horizontal="center"/>
      <protection hidden="1"/>
    </xf>
    <xf numFmtId="0" fontId="241" fillId="33" borderId="0" xfId="0" applyFont="1" applyFill="1" applyBorder="1" applyAlignment="1" applyProtection="1">
      <alignment/>
      <protection hidden="1"/>
    </xf>
    <xf numFmtId="0" fontId="241" fillId="33" borderId="11" xfId="0" applyFont="1" applyFill="1" applyBorder="1" applyAlignment="1" applyProtection="1">
      <alignment/>
      <protection hidden="1"/>
    </xf>
    <xf numFmtId="0" fontId="42" fillId="48" borderId="11" xfId="0" applyFont="1" applyFill="1" applyBorder="1" applyAlignment="1" applyProtection="1">
      <alignment horizontal="left"/>
      <protection hidden="1"/>
    </xf>
    <xf numFmtId="0" fontId="213" fillId="33" borderId="0" xfId="0" applyFont="1" applyFill="1" applyBorder="1" applyAlignment="1" applyProtection="1">
      <alignment horizontal="left" vertical="top"/>
      <protection hidden="1"/>
    </xf>
    <xf numFmtId="0" fontId="213" fillId="33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242" fillId="0" borderId="12" xfId="0" applyFont="1" applyFill="1" applyBorder="1" applyAlignment="1" applyProtection="1">
      <alignment horizontal="left" vertical="center" indent="1"/>
      <protection hidden="1"/>
    </xf>
    <xf numFmtId="0" fontId="243" fillId="0" borderId="0" xfId="0" applyFont="1" applyFill="1" applyBorder="1" applyAlignment="1" applyProtection="1">
      <alignment vertical="top"/>
      <protection hidden="1"/>
    </xf>
    <xf numFmtId="0" fontId="243" fillId="0" borderId="12" xfId="0" applyFont="1" applyFill="1" applyBorder="1" applyAlignment="1" applyProtection="1">
      <alignment horizontal="right" vertical="center" indent="1"/>
      <protection hidden="1"/>
    </xf>
    <xf numFmtId="0" fontId="244" fillId="34" borderId="14" xfId="0" applyFont="1" applyFill="1" applyBorder="1" applyAlignment="1" applyProtection="1">
      <alignment horizontal="center" vertical="top"/>
      <protection locked="0"/>
    </xf>
    <xf numFmtId="0" fontId="243" fillId="0" borderId="0" xfId="0" applyFont="1" applyFill="1" applyBorder="1" applyAlignment="1" applyProtection="1">
      <alignment horizontal="right" vertical="center" indent="1"/>
      <protection hidden="1"/>
    </xf>
    <xf numFmtId="0" fontId="245" fillId="0" borderId="0" xfId="0" applyFont="1" applyBorder="1" applyAlignment="1" applyProtection="1">
      <alignment horizontal="center" vertical="center"/>
      <protection hidden="1"/>
    </xf>
    <xf numFmtId="49" fontId="246" fillId="0" borderId="0" xfId="0" applyNumberFormat="1" applyFont="1" applyAlignment="1" applyProtection="1">
      <alignment/>
      <protection hidden="1"/>
    </xf>
    <xf numFmtId="0" fontId="247" fillId="0" borderId="0" xfId="0" applyFont="1" applyAlignment="1" applyProtection="1">
      <alignment horizontal="justify" vertical="top" wrapText="1"/>
      <protection hidden="1"/>
    </xf>
    <xf numFmtId="0" fontId="248" fillId="0" borderId="15" xfId="0" applyFont="1" applyBorder="1" applyAlignment="1" applyProtection="1">
      <alignment horizontal="center" vertical="top"/>
      <protection hidden="1"/>
    </xf>
    <xf numFmtId="0" fontId="248" fillId="0" borderId="12" xfId="0" applyFont="1" applyBorder="1" applyAlignment="1" applyProtection="1">
      <alignment horizontal="center" vertical="top"/>
      <protection hidden="1"/>
    </xf>
    <xf numFmtId="0" fontId="248" fillId="0" borderId="20" xfId="0" applyFont="1" applyBorder="1" applyAlignment="1" applyProtection="1">
      <alignment horizontal="center" vertical="top"/>
      <protection hidden="1"/>
    </xf>
    <xf numFmtId="0" fontId="33" fillId="0" borderId="1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33" fillId="0" borderId="13" xfId="0" applyFont="1" applyBorder="1" applyAlignment="1" applyProtection="1">
      <alignment vertical="top" wrapText="1"/>
      <protection hidden="1"/>
    </xf>
    <xf numFmtId="0" fontId="33" fillId="0" borderId="20" xfId="0" applyFont="1" applyBorder="1" applyAlignment="1" applyProtection="1">
      <alignment vertical="top" wrapText="1"/>
      <protection hidden="1"/>
    </xf>
    <xf numFmtId="0" fontId="33" fillId="0" borderId="14" xfId="0" applyFont="1" applyBorder="1" applyAlignment="1" applyProtection="1">
      <alignment vertical="top" wrapText="1"/>
      <protection hidden="1"/>
    </xf>
    <xf numFmtId="0" fontId="33" fillId="0" borderId="18" xfId="0" applyFont="1" applyBorder="1" applyAlignment="1" applyProtection="1">
      <alignment vertical="top" wrapText="1"/>
      <protection hidden="1"/>
    </xf>
    <xf numFmtId="0" fontId="66" fillId="0" borderId="0" xfId="0" applyFont="1" applyBorder="1" applyAlignment="1">
      <alignment wrapText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37" borderId="3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50" fillId="0" borderId="0" xfId="0" applyFont="1" applyBorder="1" applyAlignment="1" applyProtection="1">
      <alignment vertical="top" wrapText="1"/>
      <protection hidden="1"/>
    </xf>
    <xf numFmtId="0" fontId="232" fillId="49" borderId="14" xfId="0" applyFont="1" applyFill="1" applyBorder="1" applyAlignment="1" applyProtection="1">
      <alignment horizontal="center" vertical="center" wrapText="1"/>
      <protection hidden="1"/>
    </xf>
    <xf numFmtId="0" fontId="83" fillId="0" borderId="13" xfId="0" applyFont="1" applyBorder="1" applyAlignment="1" applyProtection="1">
      <alignment horizontal="right" vertical="top"/>
      <protection hidden="1"/>
    </xf>
    <xf numFmtId="0" fontId="17" fillId="0" borderId="13" xfId="0" applyFont="1" applyFill="1" applyBorder="1" applyAlignment="1" applyProtection="1">
      <alignment horizontal="left" vertical="top" indent="1"/>
      <protection hidden="1"/>
    </xf>
    <xf numFmtId="0" fontId="229" fillId="49" borderId="0" xfId="0" applyFont="1" applyFill="1" applyBorder="1" applyAlignment="1" applyProtection="1">
      <alignment horizontal="right"/>
      <protection hidden="1"/>
    </xf>
    <xf numFmtId="0" fontId="249" fillId="49" borderId="0" xfId="0" applyFont="1" applyFill="1" applyBorder="1" applyAlignment="1" applyProtection="1">
      <alignment horizontal="left"/>
      <protection hidden="1"/>
    </xf>
    <xf numFmtId="0" fontId="85" fillId="50" borderId="0" xfId="0" applyFont="1" applyFill="1" applyBorder="1" applyAlignment="1" applyProtection="1">
      <alignment horizontal="left"/>
      <protection hidden="1"/>
    </xf>
    <xf numFmtId="0" fontId="229" fillId="49" borderId="0" xfId="0" applyFont="1" applyFill="1" applyBorder="1" applyAlignment="1" applyProtection="1">
      <alignment horizontal="left" vertical="center"/>
      <protection hidden="1"/>
    </xf>
    <xf numFmtId="0" fontId="229" fillId="50" borderId="0" xfId="0" applyFont="1" applyFill="1" applyBorder="1" applyAlignment="1" applyProtection="1">
      <alignment horizontal="left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249" fillId="49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29" fillId="50" borderId="0" xfId="0" applyFont="1" applyFill="1" applyBorder="1" applyAlignment="1" applyProtection="1">
      <alignment horizontal="left" vertical="top"/>
      <protection hidden="1"/>
    </xf>
    <xf numFmtId="0" fontId="250" fillId="0" borderId="0" xfId="0" applyFont="1" applyBorder="1" applyAlignment="1" applyProtection="1">
      <alignment/>
      <protection hidden="1"/>
    </xf>
    <xf numFmtId="0" fontId="213" fillId="0" borderId="13" xfId="0" applyFont="1" applyBorder="1" applyAlignment="1" applyProtection="1">
      <alignment/>
      <protection hidden="1"/>
    </xf>
    <xf numFmtId="0" fontId="85" fillId="0" borderId="13" xfId="0" applyFont="1" applyBorder="1" applyAlignment="1" applyProtection="1">
      <alignment horizontal="right" vertical="top"/>
      <protection hidden="1"/>
    </xf>
    <xf numFmtId="3" fontId="73" fillId="0" borderId="0" xfId="0" applyNumberFormat="1" applyFont="1" applyBorder="1" applyAlignment="1" applyProtection="1">
      <alignment horizontal="right" vertical="center"/>
      <protection hidden="1"/>
    </xf>
    <xf numFmtId="17" fontId="72" fillId="5" borderId="0" xfId="0" applyNumberFormat="1" applyFont="1" applyFill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251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9" fillId="5" borderId="14" xfId="0" applyFont="1" applyFill="1" applyBorder="1" applyAlignment="1" applyProtection="1">
      <alignment vertical="top"/>
      <protection hidden="1"/>
    </xf>
    <xf numFmtId="0" fontId="0" fillId="5" borderId="22" xfId="0" applyFont="1" applyFill="1" applyBorder="1" applyAlignment="1" applyProtection="1">
      <alignment vertical="top"/>
      <protection hidden="1"/>
    </xf>
    <xf numFmtId="0" fontId="19" fillId="5" borderId="22" xfId="0" applyFont="1" applyFill="1" applyBorder="1" applyAlignment="1" applyProtection="1">
      <alignment vertical="top"/>
      <protection hidden="1"/>
    </xf>
    <xf numFmtId="0" fontId="0" fillId="5" borderId="22" xfId="0" applyFill="1" applyBorder="1" applyAlignment="1" applyProtection="1">
      <alignment vertical="top"/>
      <protection hidden="1"/>
    </xf>
    <xf numFmtId="0" fontId="252" fillId="5" borderId="22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9" fillId="5" borderId="0" xfId="0" applyFont="1" applyFill="1" applyBorder="1" applyAlignment="1" applyProtection="1">
      <alignment vertical="top"/>
      <protection hidden="1"/>
    </xf>
    <xf numFmtId="0" fontId="102" fillId="5" borderId="0" xfId="0" applyFont="1" applyFill="1" applyAlignment="1" applyProtection="1">
      <alignment horizontal="left" vertical="top" indent="3"/>
      <protection hidden="1"/>
    </xf>
    <xf numFmtId="0" fontId="88" fillId="5" borderId="0" xfId="0" applyFont="1" applyFill="1" applyBorder="1" applyAlignment="1" applyProtection="1">
      <alignment vertical="center"/>
      <protection hidden="1"/>
    </xf>
    <xf numFmtId="0" fontId="253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254" fillId="0" borderId="15" xfId="0" applyFont="1" applyBorder="1" applyAlignment="1" applyProtection="1">
      <alignment vertical="top" wrapText="1"/>
      <protection hidden="1" locked="0"/>
    </xf>
    <xf numFmtId="0" fontId="254" fillId="0" borderId="21" xfId="0" applyFont="1" applyBorder="1" applyAlignment="1" applyProtection="1">
      <alignment vertical="top" wrapText="1"/>
      <protection hidden="1" locked="0"/>
    </xf>
    <xf numFmtId="0" fontId="254" fillId="0" borderId="19" xfId="0" applyFont="1" applyBorder="1" applyAlignment="1" applyProtection="1">
      <alignment vertical="top" wrapText="1"/>
      <protection hidden="1" locked="0"/>
    </xf>
    <xf numFmtId="0" fontId="254" fillId="0" borderId="20" xfId="0" applyFont="1" applyBorder="1" applyAlignment="1" applyProtection="1">
      <alignment vertical="top" wrapText="1"/>
      <protection hidden="1" locked="0"/>
    </xf>
    <xf numFmtId="0" fontId="254" fillId="0" borderId="14" xfId="0" applyFont="1" applyBorder="1" applyAlignment="1" applyProtection="1">
      <alignment vertical="top" wrapText="1"/>
      <protection hidden="1" locked="0"/>
    </xf>
    <xf numFmtId="0" fontId="254" fillId="0" borderId="18" xfId="0" applyFont="1" applyBorder="1" applyAlignment="1" applyProtection="1">
      <alignment vertical="top" wrapText="1"/>
      <protection hidden="1" locked="0"/>
    </xf>
    <xf numFmtId="17" fontId="210" fillId="5" borderId="0" xfId="0" applyNumberFormat="1" applyFont="1" applyFill="1" applyAlignment="1" applyProtection="1">
      <alignment horizontal="left"/>
      <protection hidden="1"/>
    </xf>
    <xf numFmtId="0" fontId="19" fillId="0" borderId="14" xfId="0" applyFont="1" applyBorder="1" applyAlignment="1" applyProtection="1">
      <alignment/>
      <protection hidden="1"/>
    </xf>
    <xf numFmtId="0" fontId="19" fillId="0" borderId="14" xfId="0" applyFont="1" applyBorder="1" applyAlignment="1" applyProtection="1">
      <alignment horizontal="center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255" fillId="5" borderId="15" xfId="42" applyFont="1" applyFill="1" applyBorder="1" applyAlignment="1" applyProtection="1">
      <alignment horizontal="center"/>
      <protection hidden="1"/>
    </xf>
    <xf numFmtId="0" fontId="255" fillId="5" borderId="12" xfId="42" applyFont="1" applyFill="1" applyBorder="1" applyAlignment="1" applyProtection="1">
      <alignment horizontal="center"/>
      <protection hidden="1"/>
    </xf>
    <xf numFmtId="0" fontId="255" fillId="5" borderId="20" xfId="42" applyFont="1" applyFill="1" applyBorder="1" applyAlignment="1" applyProtection="1">
      <alignment horizontal="center"/>
      <protection hidden="1"/>
    </xf>
    <xf numFmtId="0" fontId="18" fillId="2" borderId="14" xfId="0" applyFont="1" applyFill="1" applyBorder="1" applyAlignment="1" applyProtection="1">
      <alignment horizontal="center" vertical="top"/>
      <protection locked="0"/>
    </xf>
    <xf numFmtId="1" fontId="56" fillId="2" borderId="14" xfId="0" applyNumberFormat="1" applyFont="1" applyFill="1" applyBorder="1" applyAlignment="1" applyProtection="1">
      <alignment horizontal="center"/>
      <protection locked="0"/>
    </xf>
    <xf numFmtId="1" fontId="56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256" fillId="0" borderId="17" xfId="0" applyFont="1" applyBorder="1" applyAlignment="1" applyProtection="1">
      <alignment horizontal="center" vertical="center"/>
      <protection hidden="1"/>
    </xf>
    <xf numFmtId="0" fontId="257" fillId="0" borderId="0" xfId="0" applyFont="1" applyAlignment="1" applyProtection="1">
      <alignment/>
      <protection hidden="1"/>
    </xf>
    <xf numFmtId="0" fontId="258" fillId="33" borderId="23" xfId="0" applyFont="1" applyFill="1" applyBorder="1" applyAlignment="1" applyProtection="1">
      <alignment vertical="center"/>
      <protection hidden="1"/>
    </xf>
    <xf numFmtId="3" fontId="259" fillId="0" borderId="0" xfId="0" applyNumberFormat="1" applyFont="1" applyAlignment="1" applyProtection="1">
      <alignment vertical="top" wrapText="1"/>
      <protection hidden="1"/>
    </xf>
    <xf numFmtId="0" fontId="260" fillId="37" borderId="0" xfId="0" applyFont="1" applyFill="1" applyAlignment="1" applyProtection="1">
      <alignment horizontal="left"/>
      <protection hidden="1"/>
    </xf>
    <xf numFmtId="0" fontId="260" fillId="0" borderId="0" xfId="0" applyFont="1" applyAlignment="1" applyProtection="1">
      <alignment horizontal="center"/>
      <protection hidden="1"/>
    </xf>
    <xf numFmtId="0" fontId="231" fillId="0" borderId="0" xfId="0" applyFont="1" applyAlignment="1" applyProtection="1">
      <alignment/>
      <protection hidden="1"/>
    </xf>
    <xf numFmtId="0" fontId="261" fillId="0" borderId="22" xfId="0" applyFont="1" applyBorder="1" applyAlignment="1" applyProtection="1">
      <alignment vertical="top"/>
      <protection hidden="1"/>
    </xf>
    <xf numFmtId="0" fontId="262" fillId="0" borderId="0" xfId="0" applyFont="1" applyBorder="1" applyAlignment="1" applyProtection="1">
      <alignment vertical="top" wrapText="1"/>
      <protection hidden="1"/>
    </xf>
    <xf numFmtId="0" fontId="263" fillId="0" borderId="0" xfId="0" applyFont="1" applyBorder="1" applyAlignment="1" applyProtection="1">
      <alignment vertical="top"/>
      <protection hidden="1"/>
    </xf>
    <xf numFmtId="0" fontId="213" fillId="37" borderId="0" xfId="0" applyFont="1" applyFill="1" applyAlignment="1" applyProtection="1">
      <alignment/>
      <protection hidden="1"/>
    </xf>
    <xf numFmtId="0" fontId="243" fillId="0" borderId="21" xfId="0" applyFont="1" applyBorder="1" applyAlignment="1" applyProtection="1">
      <alignment vertical="top" wrapText="1"/>
      <protection hidden="1" locked="0"/>
    </xf>
    <xf numFmtId="0" fontId="243" fillId="0" borderId="14" xfId="0" applyFont="1" applyBorder="1" applyAlignment="1" applyProtection="1">
      <alignment vertical="top" wrapText="1"/>
      <protection hidden="1" locked="0"/>
    </xf>
    <xf numFmtId="0" fontId="260" fillId="0" borderId="14" xfId="0" applyFont="1" applyBorder="1" applyAlignment="1" applyProtection="1">
      <alignment horizontal="right"/>
      <protection hidden="1"/>
    </xf>
    <xf numFmtId="0" fontId="260" fillId="0" borderId="14" xfId="0" applyFont="1" applyBorder="1" applyAlignment="1" applyProtection="1">
      <alignment horizontal="left"/>
      <protection hidden="1"/>
    </xf>
    <xf numFmtId="0" fontId="231" fillId="0" borderId="0" xfId="0" applyFont="1" applyFill="1" applyBorder="1" applyAlignment="1" applyProtection="1">
      <alignment horizontal="right"/>
      <protection hidden="1"/>
    </xf>
    <xf numFmtId="0" fontId="231" fillId="0" borderId="0" xfId="0" applyFont="1" applyFill="1" applyBorder="1" applyAlignment="1" applyProtection="1">
      <alignment horizontal="left"/>
      <protection hidden="1"/>
    </xf>
    <xf numFmtId="0" fontId="213" fillId="0" borderId="0" xfId="0" applyFont="1" applyAlignment="1" applyProtection="1">
      <alignment horizontal="left"/>
      <protection hidden="1"/>
    </xf>
    <xf numFmtId="0" fontId="264" fillId="0" borderId="0" xfId="0" applyFont="1" applyAlignment="1" applyProtection="1">
      <alignment vertical="top" wrapText="1"/>
      <protection hidden="1"/>
    </xf>
    <xf numFmtId="0" fontId="264" fillId="0" borderId="0" xfId="0" applyFont="1" applyBorder="1" applyAlignment="1" applyProtection="1">
      <alignment vertical="top" wrapText="1"/>
      <protection hidden="1"/>
    </xf>
    <xf numFmtId="0" fontId="213" fillId="5" borderId="0" xfId="0" applyFont="1" applyFill="1" applyAlignment="1" applyProtection="1">
      <alignment/>
      <protection hidden="1"/>
    </xf>
    <xf numFmtId="0" fontId="260" fillId="0" borderId="0" xfId="0" applyFont="1" applyAlignment="1" applyProtection="1">
      <alignment horizontal="left"/>
      <protection hidden="1"/>
    </xf>
    <xf numFmtId="0" fontId="265" fillId="3" borderId="0" xfId="0" applyFont="1" applyFill="1" applyAlignment="1" applyProtection="1">
      <alignment/>
      <protection hidden="1"/>
    </xf>
    <xf numFmtId="0" fontId="213" fillId="0" borderId="0" xfId="0" applyFont="1" applyAlignment="1" applyProtection="1">
      <alignment horizontal="center"/>
      <protection hidden="1"/>
    </xf>
    <xf numFmtId="0" fontId="265" fillId="3" borderId="0" xfId="0" applyFont="1" applyFill="1" applyAlignment="1" applyProtection="1">
      <alignment horizontal="center"/>
      <protection hidden="1"/>
    </xf>
    <xf numFmtId="0" fontId="21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5" borderId="0" xfId="0" applyFill="1" applyAlignment="1" applyProtection="1">
      <alignment horizontal="left" vertical="top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41" fillId="33" borderId="11" xfId="0" applyFont="1" applyFill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left" indent="1"/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235" fillId="0" borderId="26" xfId="0" applyFont="1" applyBorder="1" applyAlignment="1" applyProtection="1">
      <alignment vertical="top" wrapText="1"/>
      <protection hidden="1"/>
    </xf>
    <xf numFmtId="0" fontId="33" fillId="0" borderId="26" xfId="0" applyFont="1" applyBorder="1" applyAlignment="1" applyProtection="1">
      <alignment vertical="top" wrapText="1"/>
      <protection hidden="1"/>
    </xf>
    <xf numFmtId="0" fontId="12" fillId="0" borderId="26" xfId="0" applyFont="1" applyBorder="1" applyAlignment="1" applyProtection="1">
      <alignment vertical="top" wrapText="1"/>
      <protection hidden="1"/>
    </xf>
    <xf numFmtId="0" fontId="95" fillId="0" borderId="26" xfId="0" applyFont="1" applyBorder="1" applyAlignment="1" applyProtection="1">
      <alignment horizontal="center" vertical="top" wrapText="1"/>
      <protection hidden="1"/>
    </xf>
    <xf numFmtId="0" fontId="94" fillId="0" borderId="20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64" fillId="51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65" fillId="48" borderId="0" xfId="0" applyFont="1" applyFill="1" applyBorder="1" applyAlignment="1" applyProtection="1">
      <alignment/>
      <protection hidden="1"/>
    </xf>
    <xf numFmtId="0" fontId="42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5" fillId="0" borderId="0" xfId="0" applyFont="1" applyBorder="1" applyAlignment="1">
      <alignment horizontal="left" wrapText="1" indent="2"/>
    </xf>
    <xf numFmtId="0" fontId="266" fillId="0" borderId="0" xfId="0" applyFont="1" applyBorder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111" fillId="0" borderId="0" xfId="0" applyFont="1" applyBorder="1" applyAlignment="1">
      <alignment horizontal="center" wrapText="1"/>
    </xf>
    <xf numFmtId="0" fontId="267" fillId="0" borderId="0" xfId="0" applyFont="1" applyBorder="1" applyAlignment="1" applyProtection="1">
      <alignment vertical="top" wrapText="1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0" fontId="268" fillId="0" borderId="0" xfId="0" applyFont="1" applyBorder="1" applyAlignment="1" applyProtection="1">
      <alignment vertical="top" wrapText="1"/>
      <protection hidden="1"/>
    </xf>
    <xf numFmtId="0" fontId="95" fillId="2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 applyProtection="1">
      <alignment horizontal="left" vertical="top" wrapText="1" indent="4"/>
      <protection hidden="1"/>
    </xf>
    <xf numFmtId="0" fontId="35" fillId="5" borderId="22" xfId="0" applyFont="1" applyFill="1" applyBorder="1" applyAlignment="1" applyProtection="1">
      <alignment vertical="center"/>
      <protection hidden="1"/>
    </xf>
    <xf numFmtId="0" fontId="103" fillId="5" borderId="0" xfId="0" applyFont="1" applyFill="1" applyBorder="1" applyAlignment="1" applyProtection="1">
      <alignment horizontal="center" vertical="top" wrapText="1"/>
      <protection hidden="1"/>
    </xf>
    <xf numFmtId="0" fontId="103" fillId="5" borderId="1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03" fillId="5" borderId="0" xfId="0" applyFont="1" applyFill="1" applyBorder="1" applyAlignment="1" applyProtection="1">
      <alignment horizontal="center" vertical="center" wrapText="1"/>
      <protection hidden="1"/>
    </xf>
    <xf numFmtId="0" fontId="103" fillId="5" borderId="13" xfId="0" applyFont="1" applyFill="1" applyBorder="1" applyAlignment="1" applyProtection="1">
      <alignment horizontal="center" vertical="center" wrapText="1"/>
      <protection hidden="1"/>
    </xf>
    <xf numFmtId="0" fontId="269" fillId="0" borderId="0" xfId="0" applyFont="1" applyBorder="1" applyAlignment="1" applyProtection="1">
      <alignment horizontal="left" vertical="center" wrapText="1" indent="2"/>
      <protection hidden="1"/>
    </xf>
    <xf numFmtId="0" fontId="50" fillId="34" borderId="0" xfId="0" applyFont="1" applyFill="1" applyBorder="1" applyAlignment="1" applyProtection="1">
      <alignment horizontal="center" vertical="center"/>
      <protection hidden="1"/>
    </xf>
    <xf numFmtId="0" fontId="18" fillId="34" borderId="14" xfId="0" applyFont="1" applyFill="1" applyBorder="1" applyAlignment="1" applyProtection="1">
      <alignment horizontal="center" vertical="top"/>
      <protection locked="0"/>
    </xf>
    <xf numFmtId="0" fontId="51" fillId="48" borderId="12" xfId="0" applyFont="1" applyFill="1" applyBorder="1" applyAlignment="1" applyProtection="1">
      <alignment horizontal="left" vertical="center" wrapText="1" indent="1"/>
      <protection hidden="1"/>
    </xf>
    <xf numFmtId="0" fontId="51" fillId="48" borderId="0" xfId="0" applyFont="1" applyFill="1" applyBorder="1" applyAlignment="1" applyProtection="1">
      <alignment horizontal="left" vertical="center" wrapText="1" indent="1"/>
      <protection hidden="1"/>
    </xf>
    <xf numFmtId="0" fontId="51" fillId="48" borderId="13" xfId="0" applyFont="1" applyFill="1" applyBorder="1" applyAlignment="1" applyProtection="1">
      <alignment horizontal="left" vertical="center" wrapText="1" indent="1"/>
      <protection hidden="1"/>
    </xf>
    <xf numFmtId="0" fontId="17" fillId="0" borderId="12" xfId="0" applyFont="1" applyFill="1" applyBorder="1" applyAlignment="1" applyProtection="1">
      <alignment horizontal="left" vertical="top" wrapText="1" indent="1"/>
      <protection hidden="1"/>
    </xf>
    <xf numFmtId="0" fontId="17" fillId="0" borderId="0" xfId="0" applyFont="1" applyFill="1" applyBorder="1" applyAlignment="1" applyProtection="1">
      <alignment horizontal="left" vertical="top" wrapText="1" indent="1"/>
      <protection hidden="1"/>
    </xf>
    <xf numFmtId="0" fontId="18" fillId="35" borderId="12" xfId="0" applyFont="1" applyFill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center" vertical="center"/>
      <protection hidden="1"/>
    </xf>
    <xf numFmtId="0" fontId="19" fillId="2" borderId="14" xfId="0" applyFont="1" applyFill="1" applyBorder="1" applyAlignment="1" applyProtection="1">
      <alignment horizontal="left" vertical="top" indent="1"/>
      <protection locked="0"/>
    </xf>
    <xf numFmtId="0" fontId="17" fillId="0" borderId="12" xfId="0" applyFont="1" applyBorder="1" applyAlignment="1" applyProtection="1">
      <alignment horizontal="left" wrapText="1" indent="1"/>
      <protection hidden="1"/>
    </xf>
    <xf numFmtId="0" fontId="53" fillId="0" borderId="21" xfId="0" applyFont="1" applyBorder="1" applyAlignment="1" applyProtection="1">
      <alignment horizontal="center" vertical="top"/>
      <protection hidden="1"/>
    </xf>
    <xf numFmtId="0" fontId="270" fillId="0" borderId="0" xfId="0" applyFont="1" applyBorder="1" applyAlignment="1" applyProtection="1">
      <alignment horizontal="left"/>
      <protection hidden="1"/>
    </xf>
    <xf numFmtId="0" fontId="36" fillId="0" borderId="12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94" fillId="2" borderId="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Alignment="1">
      <alignment/>
    </xf>
    <xf numFmtId="0" fontId="71" fillId="34" borderId="0" xfId="0" applyFont="1" applyFill="1" applyBorder="1" applyAlignment="1" applyProtection="1">
      <alignment horizontal="left" vertical="center"/>
      <protection hidden="1"/>
    </xf>
    <xf numFmtId="0" fontId="270" fillId="0" borderId="0" xfId="0" applyFont="1" applyBorder="1" applyAlignment="1" applyProtection="1">
      <alignment horizontal="left" wrapText="1" indent="1"/>
      <protection hidden="1"/>
    </xf>
    <xf numFmtId="0" fontId="60" fillId="33" borderId="23" xfId="42" applyFont="1" applyFill="1" applyBorder="1" applyAlignment="1" applyProtection="1">
      <alignment horizontal="center" vertical="center"/>
      <protection hidden="1"/>
    </xf>
    <xf numFmtId="0" fontId="60" fillId="33" borderId="22" xfId="42" applyFont="1" applyFill="1" applyBorder="1" applyAlignment="1" applyProtection="1">
      <alignment horizontal="center" vertical="center"/>
      <protection hidden="1"/>
    </xf>
    <xf numFmtId="0" fontId="60" fillId="33" borderId="24" xfId="42" applyFont="1" applyFill="1" applyBorder="1" applyAlignment="1" applyProtection="1">
      <alignment horizontal="center" vertical="center"/>
      <protection hidden="1"/>
    </xf>
    <xf numFmtId="0" fontId="19" fillId="34" borderId="14" xfId="0" applyFont="1" applyFill="1" applyBorder="1" applyAlignment="1" applyProtection="1">
      <alignment horizontal="left" vertical="top" indent="1"/>
      <protection locked="0"/>
    </xf>
    <xf numFmtId="0" fontId="54" fillId="0" borderId="0" xfId="0" applyFont="1" applyBorder="1" applyAlignment="1" applyProtection="1">
      <alignment horizontal="center"/>
      <protection hidden="1"/>
    </xf>
    <xf numFmtId="0" fontId="59" fillId="35" borderId="15" xfId="0" applyFont="1" applyFill="1" applyBorder="1" applyAlignment="1" applyProtection="1">
      <alignment horizontal="center" vertical="center"/>
      <protection hidden="1"/>
    </xf>
    <xf numFmtId="0" fontId="59" fillId="35" borderId="21" xfId="0" applyFont="1" applyFill="1" applyBorder="1" applyAlignment="1" applyProtection="1">
      <alignment horizontal="center" vertical="center"/>
      <protection hidden="1"/>
    </xf>
    <xf numFmtId="0" fontId="271" fillId="0" borderId="12" xfId="0" applyFont="1" applyFill="1" applyBorder="1" applyAlignment="1" applyProtection="1">
      <alignment horizontal="left" vertical="top" wrapText="1" indent="1"/>
      <protection hidden="1"/>
    </xf>
    <xf numFmtId="0" fontId="271" fillId="0" borderId="0" xfId="0" applyFont="1" applyFill="1" applyBorder="1" applyAlignment="1" applyProtection="1">
      <alignment horizontal="left" vertical="top" wrapText="1" indent="1"/>
      <protection hidden="1"/>
    </xf>
    <xf numFmtId="0" fontId="271" fillId="0" borderId="13" xfId="0" applyFont="1" applyFill="1" applyBorder="1" applyAlignment="1" applyProtection="1">
      <alignment horizontal="left" vertical="top" wrapText="1" indent="1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3" fontId="36" fillId="34" borderId="0" xfId="0" applyNumberFormat="1" applyFont="1" applyFill="1" applyBorder="1" applyAlignment="1" applyProtection="1">
      <alignment horizontal="left" vertical="top" wrapText="1" indent="1"/>
      <protection locked="0"/>
    </xf>
    <xf numFmtId="3" fontId="36" fillId="34" borderId="13" xfId="0" applyNumberFormat="1" applyFont="1" applyFill="1" applyBorder="1" applyAlignment="1" applyProtection="1">
      <alignment horizontal="left" vertical="top" wrapText="1" indent="1"/>
      <protection locked="0"/>
    </xf>
    <xf numFmtId="0" fontId="34" fillId="0" borderId="14" xfId="0" applyFont="1" applyFill="1" applyBorder="1" applyAlignment="1" applyProtection="1">
      <alignment horizontal="center" vertical="center"/>
      <protection/>
    </xf>
    <xf numFmtId="3" fontId="35" fillId="3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5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39" fillId="35" borderId="12" xfId="0" applyFont="1" applyFill="1" applyBorder="1" applyAlignment="1" applyProtection="1">
      <alignment horizontal="center" wrapText="1"/>
      <protection hidden="1"/>
    </xf>
    <xf numFmtId="0" fontId="18" fillId="35" borderId="0" xfId="0" applyFont="1" applyFill="1" applyBorder="1" applyAlignment="1" applyProtection="1">
      <alignment horizontal="center"/>
      <protection hidden="1"/>
    </xf>
    <xf numFmtId="0" fontId="34" fillId="38" borderId="12" xfId="0" applyFont="1" applyFill="1" applyBorder="1" applyAlignment="1" applyProtection="1">
      <alignment horizontal="left" indent="1"/>
      <protection locked="0"/>
    </xf>
    <xf numFmtId="0" fontId="34" fillId="38" borderId="0" xfId="0" applyFont="1" applyFill="1" applyBorder="1" applyAlignment="1" applyProtection="1">
      <alignment horizontal="left" indent="1"/>
      <protection locked="0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104" fillId="5" borderId="35" xfId="0" applyFont="1" applyFill="1" applyBorder="1" applyAlignment="1" applyProtection="1">
      <alignment horizontal="center" vertical="top"/>
      <protection locked="0"/>
    </xf>
    <xf numFmtId="0" fontId="104" fillId="5" borderId="36" xfId="0" applyFont="1" applyFill="1" applyBorder="1" applyAlignment="1" applyProtection="1">
      <alignment horizontal="center" vertical="top"/>
      <protection locked="0"/>
    </xf>
    <xf numFmtId="0" fontId="19" fillId="38" borderId="14" xfId="0" applyFont="1" applyFill="1" applyBorder="1" applyAlignment="1" applyProtection="1">
      <alignment horizontal="left" vertical="top" indent="1"/>
      <protection locked="0"/>
    </xf>
    <xf numFmtId="0" fontId="17" fillId="0" borderId="12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Fill="1" applyBorder="1" applyAlignment="1" applyProtection="1">
      <alignment horizontal="left" vertical="center" indent="1"/>
      <protection hidden="1"/>
    </xf>
    <xf numFmtId="0" fontId="18" fillId="35" borderId="12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left" vertical="top" indent="1"/>
      <protection hidden="1"/>
    </xf>
    <xf numFmtId="0" fontId="21" fillId="0" borderId="0" xfId="0" applyFont="1" applyBorder="1" applyAlignment="1" applyProtection="1">
      <alignment horizontal="right" vertical="top"/>
      <protection hidden="1"/>
    </xf>
    <xf numFmtId="0" fontId="21" fillId="0" borderId="13" xfId="0" applyFont="1" applyBorder="1" applyAlignment="1" applyProtection="1">
      <alignment horizontal="right" vertical="top"/>
      <protection hidden="1"/>
    </xf>
    <xf numFmtId="0" fontId="19" fillId="38" borderId="22" xfId="0" applyFont="1" applyFill="1" applyBorder="1" applyAlignment="1" applyProtection="1">
      <alignment horizontal="left" vertical="center" indent="1"/>
      <protection locked="0"/>
    </xf>
    <xf numFmtId="3" fontId="25" fillId="0" borderId="0" xfId="0" applyNumberFormat="1" applyFont="1" applyFill="1" applyBorder="1" applyAlignment="1" applyProtection="1">
      <alignment horizontal="left" vertical="top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18" fillId="34" borderId="14" xfId="0" applyFont="1" applyFill="1" applyBorder="1" applyAlignment="1" applyProtection="1">
      <alignment horizontal="left" vertical="center" indent="1"/>
      <protection locked="0"/>
    </xf>
    <xf numFmtId="14" fontId="272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9" fillId="0" borderId="14" xfId="0" applyFont="1" applyFill="1" applyBorder="1" applyAlignment="1" applyProtection="1">
      <alignment horizontal="left" vertical="center" indent="1"/>
      <protection hidden="1"/>
    </xf>
    <xf numFmtId="0" fontId="18" fillId="35" borderId="12" xfId="0" applyFont="1" applyFill="1" applyBorder="1" applyAlignment="1" applyProtection="1">
      <alignment horizontal="right" vertical="center" indent="2"/>
      <protection hidden="1"/>
    </xf>
    <xf numFmtId="0" fontId="18" fillId="35" borderId="0" xfId="0" applyFont="1" applyFill="1" applyBorder="1" applyAlignment="1" applyProtection="1">
      <alignment horizontal="right" vertical="center" indent="2"/>
      <protection hidden="1"/>
    </xf>
    <xf numFmtId="0" fontId="19" fillId="34" borderId="14" xfId="0" applyFont="1" applyFill="1" applyBorder="1" applyAlignment="1" applyProtection="1">
      <alignment horizontal="center" vertical="top"/>
      <protection locked="0"/>
    </xf>
    <xf numFmtId="3" fontId="19" fillId="34" borderId="14" xfId="0" applyNumberFormat="1" applyFont="1" applyFill="1" applyBorder="1" applyAlignment="1" applyProtection="1">
      <alignment horizontal="left" vertical="top" indent="1"/>
      <protection locked="0"/>
    </xf>
    <xf numFmtId="3" fontId="19" fillId="38" borderId="0" xfId="0" applyNumberFormat="1" applyFont="1" applyFill="1" applyBorder="1" applyAlignment="1" applyProtection="1">
      <alignment horizontal="left" vertical="top" indent="1"/>
      <protection locked="0"/>
    </xf>
    <xf numFmtId="0" fontId="52" fillId="0" borderId="12" xfId="0" applyFont="1" applyBorder="1" applyAlignment="1" applyProtection="1">
      <alignment horizontal="center" vertical="top" wrapText="1"/>
      <protection hidden="1"/>
    </xf>
    <xf numFmtId="0" fontId="52" fillId="0" borderId="0" xfId="0" applyFont="1" applyBorder="1" applyAlignment="1" applyProtection="1">
      <alignment horizontal="center" vertical="top" wrapText="1"/>
      <protection hidden="1"/>
    </xf>
    <xf numFmtId="0" fontId="52" fillId="0" borderId="13" xfId="0" applyFont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 indent="1"/>
      <protection hidden="1"/>
    </xf>
    <xf numFmtId="0" fontId="39" fillId="35" borderId="0" xfId="0" applyFont="1" applyFill="1" applyBorder="1" applyAlignment="1" applyProtection="1">
      <alignment horizontal="center" vertical="top" wrapText="1"/>
      <protection hidden="1"/>
    </xf>
    <xf numFmtId="0" fontId="39" fillId="35" borderId="0" xfId="0" applyFont="1" applyFill="1" applyBorder="1" applyAlignment="1" applyProtection="1">
      <alignment horizontal="center" vertical="top"/>
      <protection hidden="1"/>
    </xf>
    <xf numFmtId="0" fontId="18" fillId="34" borderId="14" xfId="0" applyFont="1" applyFill="1" applyBorder="1" applyAlignment="1" applyProtection="1">
      <alignment horizontal="center" vertical="center"/>
      <protection locked="0"/>
    </xf>
    <xf numFmtId="0" fontId="35" fillId="38" borderId="12" xfId="0" applyFont="1" applyFill="1" applyBorder="1" applyAlignment="1" applyProtection="1">
      <alignment horizontal="left" vertical="center" indent="1"/>
      <protection locked="0"/>
    </xf>
    <xf numFmtId="0" fontId="35" fillId="38" borderId="0" xfId="0" applyFont="1" applyFill="1" applyBorder="1" applyAlignment="1" applyProtection="1">
      <alignment horizontal="left" vertical="center" indent="1"/>
      <protection locked="0"/>
    </xf>
    <xf numFmtId="0" fontId="108" fillId="35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96" fillId="0" borderId="0" xfId="0" applyFont="1" applyBorder="1" applyAlignment="1" applyProtection="1">
      <alignment horizontal="left" vertical="top" wrapText="1"/>
      <protection hidden="1"/>
    </xf>
    <xf numFmtId="0" fontId="95" fillId="2" borderId="0" xfId="0" applyFont="1" applyFill="1" applyBorder="1" applyAlignment="1">
      <alignment horizontal="center" vertical="center"/>
    </xf>
    <xf numFmtId="0" fontId="113" fillId="2" borderId="0" xfId="0" applyFont="1" applyFill="1" applyBorder="1" applyAlignment="1">
      <alignment horizontal="center" vertical="center" wrapText="1"/>
    </xf>
    <xf numFmtId="0" fontId="273" fillId="2" borderId="0" xfId="0" applyFont="1" applyFill="1" applyBorder="1" applyAlignment="1">
      <alignment horizontal="center" vertical="top" wrapText="1"/>
    </xf>
    <xf numFmtId="0" fontId="39" fillId="35" borderId="12" xfId="0" applyFont="1" applyFill="1" applyBorder="1" applyAlignment="1" applyProtection="1">
      <alignment horizontal="center" vertical="top" wrapText="1"/>
      <protection hidden="1"/>
    </xf>
    <xf numFmtId="0" fontId="18" fillId="35" borderId="0" xfId="0" applyFont="1" applyFill="1" applyBorder="1" applyAlignment="1" applyProtection="1">
      <alignment horizontal="center" vertical="top"/>
      <protection hidden="1"/>
    </xf>
    <xf numFmtId="3" fontId="35" fillId="38" borderId="12" xfId="0" applyNumberFormat="1" applyFont="1" applyFill="1" applyBorder="1" applyAlignment="1" applyProtection="1">
      <alignment horizontal="center" vertical="center" wrapText="1"/>
      <protection hidden="1"/>
    </xf>
    <xf numFmtId="3" fontId="35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left" vertical="top" wrapText="1"/>
      <protection hidden="1"/>
    </xf>
    <xf numFmtId="0" fontId="17" fillId="0" borderId="21" xfId="0" applyFont="1" applyBorder="1" applyAlignment="1" applyProtection="1">
      <alignment horizontal="left" vertical="top" wrapText="1"/>
      <protection hidden="1"/>
    </xf>
    <xf numFmtId="0" fontId="17" fillId="0" borderId="19" xfId="0" applyFont="1" applyBorder="1" applyAlignment="1" applyProtection="1">
      <alignment horizontal="left" vertical="top" wrapText="1"/>
      <protection hidden="1"/>
    </xf>
    <xf numFmtId="0" fontId="17" fillId="0" borderId="12" xfId="0" applyFont="1" applyBorder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left" vertical="top" wrapText="1"/>
      <protection hidden="1"/>
    </xf>
    <xf numFmtId="0" fontId="17" fillId="0" borderId="13" xfId="0" applyFont="1" applyBorder="1" applyAlignment="1" applyProtection="1">
      <alignment horizontal="left" vertical="top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 locked="0"/>
    </xf>
    <xf numFmtId="0" fontId="33" fillId="0" borderId="1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left" vertical="top" wrapText="1"/>
      <protection hidden="1"/>
    </xf>
    <xf numFmtId="0" fontId="17" fillId="0" borderId="14" xfId="0" applyFont="1" applyBorder="1" applyAlignment="1" applyProtection="1">
      <alignment horizontal="left" vertical="top" wrapText="1"/>
      <protection hidden="1"/>
    </xf>
    <xf numFmtId="0" fontId="17" fillId="0" borderId="18" xfId="0" applyFont="1" applyBorder="1" applyAlignment="1" applyProtection="1">
      <alignment horizontal="left" vertical="top" wrapText="1"/>
      <protection hidden="1"/>
    </xf>
    <xf numFmtId="0" fontId="75" fillId="0" borderId="0" xfId="0" applyFont="1" applyBorder="1" applyAlignment="1" applyProtection="1">
      <alignment horizontal="justify" vertical="top" wrapText="1"/>
      <protection hidden="1"/>
    </xf>
    <xf numFmtId="0" fontId="83" fillId="0" borderId="0" xfId="0" applyFont="1" applyAlignment="1">
      <alignment horizontal="justify" vertical="center" wrapText="1"/>
    </xf>
    <xf numFmtId="0" fontId="33" fillId="0" borderId="16" xfId="0" applyFont="1" applyBorder="1" applyAlignment="1" applyProtection="1">
      <alignment horizontal="center" vertical="top"/>
      <protection hidden="1"/>
    </xf>
    <xf numFmtId="0" fontId="33" fillId="0" borderId="25" xfId="0" applyFont="1" applyBorder="1" applyAlignment="1" applyProtection="1">
      <alignment horizontal="center" vertical="top"/>
      <protection hidden="1"/>
    </xf>
    <xf numFmtId="0" fontId="33" fillId="0" borderId="26" xfId="0" applyFont="1" applyBorder="1" applyAlignment="1" applyProtection="1">
      <alignment horizontal="center" vertical="top"/>
      <protection hidden="1"/>
    </xf>
    <xf numFmtId="0" fontId="33" fillId="0" borderId="2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top" wrapText="1"/>
      <protection hidden="1"/>
    </xf>
    <xf numFmtId="0" fontId="74" fillId="0" borderId="12" xfId="0" applyFont="1" applyBorder="1" applyAlignment="1" applyProtection="1">
      <alignment horizontal="left" vertical="top"/>
      <protection hidden="1"/>
    </xf>
    <xf numFmtId="0" fontId="74" fillId="0" borderId="0" xfId="0" applyFont="1" applyBorder="1" applyAlignment="1" applyProtection="1">
      <alignment horizontal="left" vertical="top"/>
      <protection hidden="1"/>
    </xf>
    <xf numFmtId="0" fontId="74" fillId="0" borderId="13" xfId="0" applyFont="1" applyBorder="1" applyAlignment="1" applyProtection="1">
      <alignment horizontal="left" vertical="top"/>
      <protection hidden="1"/>
    </xf>
    <xf numFmtId="0" fontId="74" fillId="0" borderId="20" xfId="0" applyFont="1" applyBorder="1" applyAlignment="1" applyProtection="1">
      <alignment horizontal="left" vertical="top"/>
      <protection hidden="1"/>
    </xf>
    <xf numFmtId="0" fontId="74" fillId="0" borderId="14" xfId="0" applyFont="1" applyBorder="1" applyAlignment="1" applyProtection="1">
      <alignment horizontal="left" vertical="top"/>
      <protection hidden="1"/>
    </xf>
    <xf numFmtId="0" fontId="74" fillId="0" borderId="18" xfId="0" applyFont="1" applyBorder="1" applyAlignment="1" applyProtection="1">
      <alignment horizontal="left" vertical="top"/>
      <protection hidden="1"/>
    </xf>
    <xf numFmtId="0" fontId="75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49" fontId="15" fillId="0" borderId="26" xfId="0" applyNumberFormat="1" applyFont="1" applyBorder="1" applyAlignment="1" applyProtection="1">
      <alignment horizontal="center" vertical="center" wrapText="1"/>
      <protection hidden="1"/>
    </xf>
    <xf numFmtId="0" fontId="33" fillId="0" borderId="17" xfId="0" applyFont="1" applyBorder="1" applyAlignment="1">
      <alignment horizontal="center" vertical="top" wrapText="1"/>
    </xf>
    <xf numFmtId="0" fontId="83" fillId="0" borderId="0" xfId="0" applyFont="1" applyAlignment="1">
      <alignment horizontal="justify" wrapText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0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4" fillId="0" borderId="20" xfId="0" applyFont="1" applyBorder="1" applyAlignment="1" applyProtection="1">
      <alignment horizontal="center" vertical="top"/>
      <protection hidden="1"/>
    </xf>
    <xf numFmtId="0" fontId="74" fillId="0" borderId="14" xfId="0" applyFont="1" applyBorder="1" applyAlignment="1" applyProtection="1">
      <alignment horizontal="center" vertical="top"/>
      <protection hidden="1"/>
    </xf>
    <xf numFmtId="0" fontId="74" fillId="0" borderId="18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18" fillId="0" borderId="15" xfId="0" applyFont="1" applyBorder="1" applyAlignment="1" applyProtection="1">
      <alignment horizontal="center" vertical="center"/>
      <protection hidden="1" locked="0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8" fillId="0" borderId="19" xfId="0" applyFont="1" applyBorder="1" applyAlignment="1" applyProtection="1">
      <alignment horizontal="center" vertical="center"/>
      <protection hidden="1" locked="0"/>
    </xf>
    <xf numFmtId="0" fontId="18" fillId="0" borderId="12" xfId="0" applyFont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 vertical="center"/>
      <protection hidden="1" locked="0"/>
    </xf>
    <xf numFmtId="0" fontId="18" fillId="0" borderId="13" xfId="0" applyFont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horizontal="center" vertical="center"/>
      <protection hidden="1" locked="0"/>
    </xf>
    <xf numFmtId="0" fontId="18" fillId="0" borderId="14" xfId="0" applyFont="1" applyBorder="1" applyAlignment="1" applyProtection="1">
      <alignment horizontal="center" vertical="center"/>
      <protection hidden="1" locked="0"/>
    </xf>
    <xf numFmtId="0" fontId="18" fillId="0" borderId="18" xfId="0" applyFont="1" applyBorder="1" applyAlignment="1" applyProtection="1">
      <alignment horizontal="center" vertical="center"/>
      <protection hidden="1" locked="0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12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74" fillId="0" borderId="12" xfId="0" applyFont="1" applyBorder="1" applyAlignment="1">
      <alignment horizontal="left" vertical="top" wrapText="1"/>
    </xf>
    <xf numFmtId="0" fontId="74" fillId="0" borderId="0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0" fontId="74" fillId="0" borderId="20" xfId="0" applyFont="1" applyBorder="1" applyAlignment="1">
      <alignment horizontal="left" vertical="top" wrapText="1"/>
    </xf>
    <xf numFmtId="0" fontId="74" fillId="0" borderId="14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8" fillId="0" borderId="15" xfId="0" applyFont="1" applyBorder="1" applyAlignment="1" applyProtection="1">
      <alignment horizontal="center" vertical="center" wrapText="1"/>
      <protection hidden="1" locked="0"/>
    </xf>
    <xf numFmtId="0" fontId="18" fillId="0" borderId="21" xfId="0" applyFont="1" applyBorder="1" applyAlignment="1" applyProtection="1">
      <alignment horizontal="center" vertical="center" wrapText="1"/>
      <protection hidden="1" locked="0"/>
    </xf>
    <xf numFmtId="0" fontId="18" fillId="0" borderId="19" xfId="0" applyFont="1" applyBorder="1" applyAlignment="1" applyProtection="1">
      <alignment horizontal="center" vertical="center" wrapText="1"/>
      <protection hidden="1" locked="0"/>
    </xf>
    <xf numFmtId="0" fontId="18" fillId="0" borderId="20" xfId="0" applyFont="1" applyBorder="1" applyAlignment="1" applyProtection="1">
      <alignment horizontal="center" vertical="center" wrapText="1"/>
      <protection hidden="1" locked="0"/>
    </xf>
    <xf numFmtId="0" fontId="18" fillId="0" borderId="14" xfId="0" applyFont="1" applyBorder="1" applyAlignment="1" applyProtection="1">
      <alignment horizontal="center" vertical="center" wrapText="1"/>
      <protection hidden="1" locked="0"/>
    </xf>
    <xf numFmtId="0" fontId="18" fillId="0" borderId="18" xfId="0" applyFont="1" applyBorder="1" applyAlignment="1" applyProtection="1">
      <alignment horizontal="center" vertical="center" wrapText="1"/>
      <protection hidden="1" locked="0"/>
    </xf>
    <xf numFmtId="0" fontId="83" fillId="0" borderId="20" xfId="0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15" fillId="0" borderId="24" xfId="0" applyFont="1" applyBorder="1" applyAlignment="1" applyProtection="1">
      <alignment horizontal="center" vertical="top"/>
      <protection hidden="1"/>
    </xf>
    <xf numFmtId="0" fontId="33" fillId="0" borderId="15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13" xfId="0" applyFont="1" applyBorder="1" applyAlignment="1">
      <alignment horizontal="center" wrapText="1"/>
    </xf>
    <xf numFmtId="0" fontId="83" fillId="0" borderId="20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18" fillId="0" borderId="12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Border="1" applyAlignment="1" applyProtection="1">
      <alignment horizontal="center" vertical="center" wrapText="1"/>
      <protection hidden="1" locked="0"/>
    </xf>
    <xf numFmtId="0" fontId="18" fillId="0" borderId="13" xfId="0" applyFont="1" applyBorder="1" applyAlignment="1" applyProtection="1">
      <alignment horizontal="center" vertical="center" wrapText="1"/>
      <protection hidden="1" locked="0"/>
    </xf>
    <xf numFmtId="0" fontId="83" fillId="0" borderId="12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80" fillId="0" borderId="21" xfId="0" applyFont="1" applyBorder="1" applyAlignment="1" applyProtection="1">
      <alignment horizontal="center" vertical="top"/>
      <protection hidden="1"/>
    </xf>
    <xf numFmtId="0" fontId="74" fillId="0" borderId="12" xfId="0" applyFont="1" applyBorder="1" applyAlignment="1" applyProtection="1">
      <alignment horizontal="left" vertical="top" wrapText="1"/>
      <protection hidden="1"/>
    </xf>
    <xf numFmtId="0" fontId="74" fillId="0" borderId="0" xfId="0" applyFont="1" applyBorder="1" applyAlignment="1" applyProtection="1">
      <alignment horizontal="left" vertical="top" wrapText="1"/>
      <protection hidden="1"/>
    </xf>
    <xf numFmtId="0" fontId="74" fillId="0" borderId="13" xfId="0" applyFont="1" applyBorder="1" applyAlignment="1" applyProtection="1">
      <alignment horizontal="left" vertical="top" wrapText="1"/>
      <protection hidden="1"/>
    </xf>
    <xf numFmtId="0" fontId="74" fillId="0" borderId="20" xfId="0" applyFont="1" applyBorder="1" applyAlignment="1" applyProtection="1">
      <alignment horizontal="left" vertical="top" wrapText="1"/>
      <protection hidden="1"/>
    </xf>
    <xf numFmtId="0" fontId="74" fillId="0" borderId="14" xfId="0" applyFont="1" applyBorder="1" applyAlignment="1" applyProtection="1">
      <alignment horizontal="left" vertical="top" wrapText="1"/>
      <protection hidden="1"/>
    </xf>
    <xf numFmtId="0" fontId="74" fillId="0" borderId="18" xfId="0" applyFont="1" applyBorder="1" applyAlignment="1" applyProtection="1">
      <alignment horizontal="left" vertical="top" wrapText="1"/>
      <protection hidden="1"/>
    </xf>
    <xf numFmtId="0" fontId="81" fillId="0" borderId="0" xfId="0" applyFont="1" applyAlignment="1" applyProtection="1">
      <alignment horizontal="left" vertical="top" indent="1"/>
      <protection hidden="1"/>
    </xf>
    <xf numFmtId="0" fontId="33" fillId="0" borderId="12" xfId="0" applyFont="1" applyBorder="1" applyAlignment="1" applyProtection="1">
      <alignment horizontal="center" vertical="top" wrapText="1"/>
      <protection hidden="1"/>
    </xf>
    <xf numFmtId="0" fontId="33" fillId="0" borderId="0" xfId="0" applyFont="1" applyBorder="1" applyAlignment="1" applyProtection="1">
      <alignment horizontal="center" vertical="top" wrapText="1"/>
      <protection hidden="1"/>
    </xf>
    <xf numFmtId="0" fontId="33" fillId="0" borderId="13" xfId="0" applyFont="1" applyBorder="1" applyAlignment="1" applyProtection="1">
      <alignment horizontal="center" vertical="top" wrapText="1"/>
      <protection hidden="1"/>
    </xf>
    <xf numFmtId="0" fontId="33" fillId="0" borderId="20" xfId="0" applyFont="1" applyBorder="1" applyAlignment="1" applyProtection="1">
      <alignment horizontal="center" vertical="top" wrapText="1"/>
      <protection hidden="1"/>
    </xf>
    <xf numFmtId="0" fontId="33" fillId="0" borderId="14" xfId="0" applyFont="1" applyBorder="1" applyAlignment="1" applyProtection="1">
      <alignment horizontal="center" vertical="top" wrapText="1"/>
      <protection hidden="1"/>
    </xf>
    <xf numFmtId="0" fontId="33" fillId="0" borderId="18" xfId="0" applyFont="1" applyBorder="1" applyAlignment="1" applyProtection="1">
      <alignment horizontal="center" vertical="top" wrapText="1"/>
      <protection hidden="1"/>
    </xf>
    <xf numFmtId="0" fontId="33" fillId="0" borderId="15" xfId="0" applyFont="1" applyBorder="1" applyAlignment="1" applyProtection="1">
      <alignment horizontal="center" vertical="center" wrapText="1"/>
      <protection hidden="1"/>
    </xf>
    <xf numFmtId="0" fontId="33" fillId="0" borderId="21" xfId="0" applyFont="1" applyBorder="1" applyAlignment="1" applyProtection="1">
      <alignment horizontal="center" vertical="center" wrapText="1"/>
      <protection hidden="1"/>
    </xf>
    <xf numFmtId="0" fontId="33" fillId="0" borderId="19" xfId="0" applyFont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33" fillId="0" borderId="13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6" xfId="0" applyFont="1" applyBorder="1" applyAlignment="1" applyProtection="1">
      <alignment horizontal="center" vertical="top" wrapText="1"/>
      <protection hidden="1"/>
    </xf>
    <xf numFmtId="0" fontId="33" fillId="0" borderId="25" xfId="0" applyFont="1" applyBorder="1" applyAlignment="1" applyProtection="1">
      <alignment horizontal="center" vertical="top" wrapText="1"/>
      <protection hidden="1"/>
    </xf>
    <xf numFmtId="0" fontId="33" fillId="0" borderId="26" xfId="0" applyFont="1" applyBorder="1" applyAlignment="1" applyProtection="1">
      <alignment horizontal="center" vertical="top" wrapText="1"/>
      <protection hidden="1"/>
    </xf>
    <xf numFmtId="0" fontId="83" fillId="0" borderId="20" xfId="0" applyFont="1" applyBorder="1" applyAlignment="1">
      <alignment horizontal="center" vertical="top"/>
    </xf>
    <xf numFmtId="0" fontId="83" fillId="0" borderId="14" xfId="0" applyFont="1" applyBorder="1" applyAlignment="1">
      <alignment horizontal="center" vertical="top"/>
    </xf>
    <xf numFmtId="0" fontId="83" fillId="0" borderId="18" xfId="0" applyFont="1" applyBorder="1" applyAlignment="1">
      <alignment horizontal="center" vertical="top"/>
    </xf>
    <xf numFmtId="0" fontId="33" fillId="0" borderId="17" xfId="0" applyFont="1" applyBorder="1" applyAlignment="1" applyProtection="1">
      <alignment horizontal="center" vertical="top"/>
      <protection hidden="1"/>
    </xf>
    <xf numFmtId="0" fontId="17" fillId="0" borderId="17" xfId="0" applyFont="1" applyBorder="1" applyAlignment="1" applyProtection="1">
      <alignment horizontal="left" vertical="top" wrapText="1"/>
      <protection hidden="1"/>
    </xf>
    <xf numFmtId="0" fontId="33" fillId="0" borderId="23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4" xfId="0" applyFont="1" applyBorder="1" applyAlignment="1">
      <alignment horizontal="center" wrapText="1"/>
    </xf>
    <xf numFmtId="0" fontId="18" fillId="0" borderId="26" xfId="0" applyFont="1" applyBorder="1" applyAlignment="1" applyProtection="1">
      <alignment horizontal="center" vertical="center" wrapText="1"/>
      <protection hidden="1" locked="0"/>
    </xf>
    <xf numFmtId="0" fontId="248" fillId="0" borderId="15" xfId="0" applyFont="1" applyBorder="1" applyAlignment="1" applyProtection="1">
      <alignment horizontal="center" vertical="center" wrapText="1"/>
      <protection hidden="1"/>
    </xf>
    <xf numFmtId="0" fontId="248" fillId="0" borderId="21" xfId="0" applyFont="1" applyBorder="1" applyAlignment="1" applyProtection="1">
      <alignment horizontal="center" vertical="center" wrapText="1"/>
      <protection hidden="1"/>
    </xf>
    <xf numFmtId="0" fontId="248" fillId="0" borderId="19" xfId="0" applyFont="1" applyBorder="1" applyAlignment="1" applyProtection="1">
      <alignment horizontal="center" vertical="center" wrapText="1"/>
      <protection hidden="1"/>
    </xf>
    <xf numFmtId="0" fontId="248" fillId="0" borderId="12" xfId="0" applyFont="1" applyBorder="1" applyAlignment="1" applyProtection="1">
      <alignment horizontal="center" vertical="center" wrapText="1"/>
      <protection hidden="1"/>
    </xf>
    <xf numFmtId="0" fontId="248" fillId="0" borderId="0" xfId="0" applyFont="1" applyBorder="1" applyAlignment="1" applyProtection="1">
      <alignment horizontal="center" vertical="center" wrapText="1"/>
      <protection hidden="1"/>
    </xf>
    <xf numFmtId="0" fontId="248" fillId="0" borderId="13" xfId="0" applyFont="1" applyBorder="1" applyAlignment="1" applyProtection="1">
      <alignment horizontal="center" vertical="center" wrapText="1"/>
      <protection hidden="1"/>
    </xf>
    <xf numFmtId="0" fontId="274" fillId="0" borderId="12" xfId="0" applyFont="1" applyBorder="1" applyAlignment="1" applyProtection="1">
      <alignment horizontal="left" vertical="center" indent="1"/>
      <protection hidden="1"/>
    </xf>
    <xf numFmtId="0" fontId="274" fillId="0" borderId="0" xfId="0" applyFont="1" applyBorder="1" applyAlignment="1" applyProtection="1">
      <alignment horizontal="left" vertical="center" indent="1"/>
      <protection hidden="1"/>
    </xf>
    <xf numFmtId="0" fontId="274" fillId="0" borderId="13" xfId="0" applyFont="1" applyBorder="1" applyAlignment="1" applyProtection="1">
      <alignment horizontal="left" vertical="center" indent="1"/>
      <protection hidden="1"/>
    </xf>
    <xf numFmtId="0" fontId="274" fillId="0" borderId="12" xfId="0" applyFont="1" applyBorder="1" applyAlignment="1" applyProtection="1">
      <alignment horizontal="left" indent="1"/>
      <protection hidden="1"/>
    </xf>
    <xf numFmtId="0" fontId="274" fillId="0" borderId="0" xfId="0" applyFont="1" applyBorder="1" applyAlignment="1" applyProtection="1">
      <alignment horizontal="left" indent="1"/>
      <protection hidden="1"/>
    </xf>
    <xf numFmtId="0" fontId="274" fillId="0" borderId="13" xfId="0" applyFont="1" applyBorder="1" applyAlignment="1" applyProtection="1">
      <alignment horizontal="left" indent="1"/>
      <protection hidden="1"/>
    </xf>
    <xf numFmtId="0" fontId="274" fillId="0" borderId="20" xfId="0" applyFont="1" applyBorder="1" applyAlignment="1" applyProtection="1">
      <alignment horizontal="left" indent="1"/>
      <protection hidden="1"/>
    </xf>
    <xf numFmtId="0" fontId="274" fillId="0" borderId="14" xfId="0" applyFont="1" applyBorder="1" applyAlignment="1" applyProtection="1">
      <alignment horizontal="left" indent="1"/>
      <protection hidden="1"/>
    </xf>
    <xf numFmtId="0" fontId="274" fillId="0" borderId="18" xfId="0" applyFont="1" applyBorder="1" applyAlignment="1" applyProtection="1">
      <alignment horizontal="left" indent="1"/>
      <protection hidden="1"/>
    </xf>
    <xf numFmtId="0" fontId="275" fillId="0" borderId="15" xfId="0" applyFont="1" applyBorder="1" applyAlignment="1" applyProtection="1">
      <alignment horizontal="center" vertical="center" wrapText="1"/>
      <protection hidden="1" locked="0"/>
    </xf>
    <xf numFmtId="0" fontId="275" fillId="0" borderId="21" xfId="0" applyFont="1" applyBorder="1" applyAlignment="1" applyProtection="1">
      <alignment horizontal="center" vertical="center" wrapText="1"/>
      <protection hidden="1" locked="0"/>
    </xf>
    <xf numFmtId="0" fontId="275" fillId="0" borderId="19" xfId="0" applyFont="1" applyBorder="1" applyAlignment="1" applyProtection="1">
      <alignment horizontal="center" vertical="center" wrapText="1"/>
      <protection hidden="1" locked="0"/>
    </xf>
    <xf numFmtId="0" fontId="275" fillId="0" borderId="20" xfId="0" applyFont="1" applyBorder="1" applyAlignment="1" applyProtection="1">
      <alignment horizontal="center" vertical="center" wrapText="1"/>
      <protection hidden="1" locked="0"/>
    </xf>
    <xf numFmtId="0" fontId="275" fillId="0" borderId="14" xfId="0" applyFont="1" applyBorder="1" applyAlignment="1" applyProtection="1">
      <alignment horizontal="center" vertical="center" wrapText="1"/>
      <protection hidden="1" locked="0"/>
    </xf>
    <xf numFmtId="0" fontId="275" fillId="0" borderId="18" xfId="0" applyFont="1" applyBorder="1" applyAlignment="1" applyProtection="1">
      <alignment horizontal="center" vertical="center" wrapText="1"/>
      <protection hidden="1" locked="0"/>
    </xf>
    <xf numFmtId="0" fontId="78" fillId="0" borderId="21" xfId="0" applyFont="1" applyBorder="1" applyAlignment="1" applyProtection="1">
      <alignment horizontal="center" vertical="top"/>
      <protection hidden="1"/>
    </xf>
    <xf numFmtId="0" fontId="35" fillId="0" borderId="22" xfId="0" applyFont="1" applyBorder="1" applyAlignment="1" applyProtection="1">
      <alignment horizontal="center"/>
      <protection hidden="1"/>
    </xf>
    <xf numFmtId="3" fontId="74" fillId="0" borderId="0" xfId="0" applyNumberFormat="1" applyFont="1" applyAlignment="1" applyProtection="1">
      <alignment horizontal="left" vertical="top" wrapText="1" indent="1"/>
      <protection hidden="1"/>
    </xf>
    <xf numFmtId="0" fontId="33" fillId="0" borderId="0" xfId="0" applyFont="1" applyBorder="1" applyAlignment="1" applyProtection="1">
      <alignment horizontal="left" wrapText="1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77" fillId="0" borderId="14" xfId="0" applyFont="1" applyBorder="1" applyAlignment="1" applyProtection="1">
      <alignment horizontal="left" inden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35" fillId="0" borderId="14" xfId="0" applyFont="1" applyBorder="1" applyAlignment="1" applyProtection="1">
      <alignment horizontal="left" vertical="top" wrapText="1" indent="1"/>
      <protection hidden="1"/>
    </xf>
    <xf numFmtId="164" fontId="34" fillId="0" borderId="14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right" indent="1"/>
      <protection hidden="1"/>
    </xf>
    <xf numFmtId="3" fontId="74" fillId="0" borderId="0" xfId="0" applyNumberFormat="1" applyFont="1" applyAlignment="1" applyProtection="1">
      <alignment horizontal="justify" vertical="top" wrapText="1"/>
      <protection hidden="1"/>
    </xf>
    <xf numFmtId="0" fontId="73" fillId="34" borderId="22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0" fontId="35" fillId="0" borderId="14" xfId="0" applyFont="1" applyBorder="1" applyAlignment="1" applyProtection="1">
      <alignment horizontal="left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3" fillId="0" borderId="16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77" fillId="0" borderId="14" xfId="0" applyFont="1" applyBorder="1" applyAlignment="1" applyProtection="1">
      <alignment horizontal="left"/>
      <protection hidden="1"/>
    </xf>
    <xf numFmtId="0" fontId="91" fillId="0" borderId="0" xfId="0" applyFont="1" applyAlignment="1" applyProtection="1">
      <alignment horizontal="left" vertical="top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276" fillId="0" borderId="15" xfId="0" applyFont="1" applyBorder="1" applyAlignment="1" applyProtection="1">
      <alignment horizontal="left" vertical="top" wrapText="1"/>
      <protection hidden="1" locked="0"/>
    </xf>
    <xf numFmtId="0" fontId="276" fillId="0" borderId="21" xfId="0" applyFont="1" applyBorder="1" applyAlignment="1" applyProtection="1">
      <alignment horizontal="left" vertical="top" wrapText="1"/>
      <protection hidden="1" locked="0"/>
    </xf>
    <xf numFmtId="0" fontId="276" fillId="0" borderId="19" xfId="0" applyFont="1" applyBorder="1" applyAlignment="1" applyProtection="1">
      <alignment horizontal="left" vertical="top" wrapText="1"/>
      <protection hidden="1" locked="0"/>
    </xf>
    <xf numFmtId="0" fontId="276" fillId="0" borderId="20" xfId="0" applyFont="1" applyBorder="1" applyAlignment="1" applyProtection="1">
      <alignment horizontal="left" vertical="top" wrapText="1"/>
      <protection hidden="1" locked="0"/>
    </xf>
    <xf numFmtId="0" fontId="276" fillId="0" borderId="14" xfId="0" applyFont="1" applyBorder="1" applyAlignment="1" applyProtection="1">
      <alignment horizontal="left" vertical="top" wrapText="1"/>
      <protection hidden="1" locked="0"/>
    </xf>
    <xf numFmtId="0" fontId="276" fillId="0" borderId="18" xfId="0" applyFont="1" applyBorder="1" applyAlignment="1" applyProtection="1">
      <alignment horizontal="left" vertical="top" wrapText="1"/>
      <protection hidden="1" locked="0"/>
    </xf>
    <xf numFmtId="0" fontId="83" fillId="0" borderId="0" xfId="0" applyFont="1" applyBorder="1" applyAlignment="1" applyProtection="1">
      <alignment horizontal="left" indent="1"/>
      <protection hidden="1"/>
    </xf>
    <xf numFmtId="0" fontId="83" fillId="0" borderId="13" xfId="0" applyFont="1" applyBorder="1" applyAlignment="1" applyProtection="1">
      <alignment horizontal="left" inden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231" fillId="0" borderId="0" xfId="0" applyFont="1" applyFill="1" applyBorder="1" applyAlignment="1" applyProtection="1">
      <alignment horizontal="center" vertical="center"/>
      <protection hidden="1"/>
    </xf>
    <xf numFmtId="0" fontId="83" fillId="0" borderId="0" xfId="0" applyFont="1" applyBorder="1" applyAlignment="1" applyProtection="1">
      <alignment horizontal="left" vertical="center" indent="1"/>
      <protection hidden="1"/>
    </xf>
    <xf numFmtId="0" fontId="83" fillId="0" borderId="13" xfId="0" applyFont="1" applyBorder="1" applyAlignment="1" applyProtection="1">
      <alignment horizontal="left" vertical="center" indent="1"/>
      <protection hidden="1"/>
    </xf>
    <xf numFmtId="0" fontId="211" fillId="42" borderId="0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77" fillId="0" borderId="12" xfId="0" applyFont="1" applyBorder="1" applyAlignment="1" applyProtection="1">
      <alignment horizontal="left" vertical="top" wrapText="1"/>
      <protection hidden="1"/>
    </xf>
    <xf numFmtId="0" fontId="277" fillId="0" borderId="0" xfId="0" applyFont="1" applyBorder="1" applyAlignment="1" applyProtection="1">
      <alignment horizontal="left" vertical="top" wrapText="1"/>
      <protection hidden="1"/>
    </xf>
    <xf numFmtId="0" fontId="277" fillId="0" borderId="13" xfId="0" applyFont="1" applyBorder="1" applyAlignment="1" applyProtection="1">
      <alignment horizontal="left" vertical="top" wrapText="1"/>
      <protection hidden="1"/>
    </xf>
    <xf numFmtId="0" fontId="277" fillId="0" borderId="20" xfId="0" applyFont="1" applyBorder="1" applyAlignment="1" applyProtection="1">
      <alignment horizontal="left" vertical="top" wrapText="1"/>
      <protection hidden="1"/>
    </xf>
    <xf numFmtId="0" fontId="277" fillId="0" borderId="14" xfId="0" applyFont="1" applyBorder="1" applyAlignment="1" applyProtection="1">
      <alignment horizontal="left" vertical="top" wrapText="1"/>
      <protection hidden="1"/>
    </xf>
    <xf numFmtId="0" fontId="277" fillId="0" borderId="18" xfId="0" applyFont="1" applyBorder="1" applyAlignment="1" applyProtection="1">
      <alignment horizontal="left" vertical="top" wrapText="1"/>
      <protection hidden="1"/>
    </xf>
    <xf numFmtId="0" fontId="278" fillId="0" borderId="17" xfId="0" applyFont="1" applyBorder="1" applyAlignment="1" applyProtection="1">
      <alignment horizontal="center" vertical="top"/>
      <protection hidden="1"/>
    </xf>
    <xf numFmtId="0" fontId="278" fillId="0" borderId="23" xfId="0" applyFont="1" applyBorder="1" applyAlignment="1" applyProtection="1">
      <alignment horizontal="center" vertical="top"/>
      <protection hidden="1"/>
    </xf>
    <xf numFmtId="0" fontId="278" fillId="0" borderId="22" xfId="0" applyFont="1" applyBorder="1" applyAlignment="1" applyProtection="1">
      <alignment horizontal="center" vertical="top"/>
      <protection hidden="1"/>
    </xf>
    <xf numFmtId="0" fontId="278" fillId="0" borderId="24" xfId="0" applyFont="1" applyBorder="1" applyAlignment="1" applyProtection="1">
      <alignment horizontal="center" vertical="top"/>
      <protection hidden="1"/>
    </xf>
    <xf numFmtId="0" fontId="275" fillId="0" borderId="17" xfId="0" applyFont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83" fillId="0" borderId="20" xfId="0" applyFont="1" applyBorder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3" fillId="0" borderId="18" xfId="0" applyFont="1" applyBorder="1" applyAlignment="1" applyProtection="1">
      <alignment horizontal="left" vertical="top" inden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6" fillId="0" borderId="0" xfId="0" applyNumberFormat="1" applyFont="1" applyAlignment="1" applyProtection="1">
      <alignment horizontal="left" vertical="top" wrapText="1" indent="1"/>
      <protection hidden="1"/>
    </xf>
    <xf numFmtId="0" fontId="256" fillId="0" borderId="15" xfId="0" applyFont="1" applyBorder="1" applyAlignment="1" applyProtection="1">
      <alignment horizontal="center" vertical="center"/>
      <protection hidden="1"/>
    </xf>
    <xf numFmtId="0" fontId="256" fillId="0" borderId="21" xfId="0" applyFont="1" applyBorder="1" applyAlignment="1" applyProtection="1">
      <alignment horizontal="center" vertical="center"/>
      <protection hidden="1"/>
    </xf>
    <xf numFmtId="0" fontId="256" fillId="0" borderId="19" xfId="0" applyFont="1" applyBorder="1" applyAlignment="1" applyProtection="1">
      <alignment horizontal="center" vertical="center"/>
      <protection hidden="1"/>
    </xf>
    <xf numFmtId="0" fontId="256" fillId="0" borderId="12" xfId="0" applyFont="1" applyBorder="1" applyAlignment="1" applyProtection="1">
      <alignment horizontal="center" vertical="center"/>
      <protection hidden="1"/>
    </xf>
    <xf numFmtId="0" fontId="256" fillId="0" borderId="0" xfId="0" applyFont="1" applyBorder="1" applyAlignment="1" applyProtection="1">
      <alignment horizontal="center" vertical="center"/>
      <protection hidden="1"/>
    </xf>
    <xf numFmtId="0" fontId="256" fillId="0" borderId="13" xfId="0" applyFont="1" applyBorder="1" applyAlignment="1" applyProtection="1">
      <alignment horizontal="center" vertical="center"/>
      <protection hidden="1"/>
    </xf>
    <xf numFmtId="0" fontId="256" fillId="0" borderId="20" xfId="0" applyFont="1" applyBorder="1" applyAlignment="1" applyProtection="1">
      <alignment horizontal="center" vertical="center"/>
      <protection hidden="1"/>
    </xf>
    <xf numFmtId="0" fontId="256" fillId="0" borderId="14" xfId="0" applyFont="1" applyBorder="1" applyAlignment="1" applyProtection="1">
      <alignment horizontal="center" vertical="center"/>
      <protection hidden="1"/>
    </xf>
    <xf numFmtId="0" fontId="256" fillId="0" borderId="18" xfId="0" applyFont="1" applyBorder="1" applyAlignment="1" applyProtection="1">
      <alignment horizontal="center" vertical="center"/>
      <protection hidden="1"/>
    </xf>
    <xf numFmtId="0" fontId="276" fillId="0" borderId="15" xfId="0" applyFont="1" applyBorder="1" applyAlignment="1" applyProtection="1">
      <alignment horizontal="left" vertical="top" wrapText="1"/>
      <protection hidden="1"/>
    </xf>
    <xf numFmtId="0" fontId="276" fillId="0" borderId="21" xfId="0" applyFont="1" applyBorder="1" applyAlignment="1" applyProtection="1">
      <alignment horizontal="left" vertical="top" wrapText="1"/>
      <protection hidden="1"/>
    </xf>
    <xf numFmtId="0" fontId="276" fillId="0" borderId="19" xfId="0" applyFont="1" applyBorder="1" applyAlignment="1" applyProtection="1">
      <alignment horizontal="left" vertical="top" wrapText="1"/>
      <protection hidden="1"/>
    </xf>
    <xf numFmtId="0" fontId="276" fillId="0" borderId="12" xfId="0" applyFont="1" applyBorder="1" applyAlignment="1" applyProtection="1">
      <alignment horizontal="left" vertical="top" wrapText="1"/>
      <protection hidden="1"/>
    </xf>
    <xf numFmtId="0" fontId="276" fillId="0" borderId="0" xfId="0" applyFont="1" applyBorder="1" applyAlignment="1" applyProtection="1">
      <alignment horizontal="left" vertical="top" wrapText="1"/>
      <protection hidden="1"/>
    </xf>
    <xf numFmtId="0" fontId="276" fillId="0" borderId="13" xfId="0" applyFont="1" applyBorder="1" applyAlignment="1" applyProtection="1">
      <alignment horizontal="left" vertical="top" wrapText="1"/>
      <protection hidden="1"/>
    </xf>
    <xf numFmtId="0" fontId="245" fillId="0" borderId="0" xfId="0" applyFont="1" applyAlignment="1" applyProtection="1">
      <alignment horizontal="left" vertical="top" wrapText="1"/>
      <protection hidden="1"/>
    </xf>
    <xf numFmtId="1" fontId="34" fillId="0" borderId="14" xfId="0" applyNumberFormat="1" applyFont="1" applyFill="1" applyBorder="1" applyAlignment="1" applyProtection="1">
      <alignment horizontal="center"/>
      <protection hidden="1"/>
    </xf>
    <xf numFmtId="0" fontId="248" fillId="0" borderId="14" xfId="0" applyFont="1" applyBorder="1" applyAlignment="1" applyProtection="1">
      <alignment horizontal="center" vertical="center" wrapText="1"/>
      <protection hidden="1"/>
    </xf>
    <xf numFmtId="0" fontId="248" fillId="0" borderId="18" xfId="0" applyFont="1" applyBorder="1" applyAlignment="1" applyProtection="1">
      <alignment horizontal="center" vertical="center" wrapText="1"/>
      <protection hidden="1"/>
    </xf>
    <xf numFmtId="49" fontId="278" fillId="0" borderId="16" xfId="0" applyNumberFormat="1" applyFont="1" applyBorder="1" applyAlignment="1" applyProtection="1">
      <alignment horizontal="center" vertical="center" wrapText="1"/>
      <protection hidden="1"/>
    </xf>
    <xf numFmtId="49" fontId="278" fillId="0" borderId="25" xfId="0" applyNumberFormat="1" applyFont="1" applyBorder="1" applyAlignment="1" applyProtection="1">
      <alignment horizontal="center" vertical="center" wrapText="1"/>
      <protection hidden="1"/>
    </xf>
    <xf numFmtId="49" fontId="278" fillId="0" borderId="26" xfId="0" applyNumberFormat="1" applyFont="1" applyBorder="1" applyAlignment="1" applyProtection="1">
      <alignment horizontal="center" vertical="center" wrapText="1"/>
      <protection hidden="1"/>
    </xf>
    <xf numFmtId="0" fontId="60" fillId="33" borderId="23" xfId="42" applyFont="1" applyFill="1" applyBorder="1" applyAlignment="1" applyProtection="1">
      <alignment horizontal="center" vertical="top"/>
      <protection hidden="1"/>
    </xf>
    <xf numFmtId="0" fontId="60" fillId="33" borderId="22" xfId="42" applyFont="1" applyFill="1" applyBorder="1" applyAlignment="1" applyProtection="1">
      <alignment horizontal="center" vertical="top"/>
      <protection hidden="1"/>
    </xf>
    <xf numFmtId="0" fontId="60" fillId="33" borderId="24" xfId="42" applyFont="1" applyFill="1" applyBorder="1" applyAlignment="1" applyProtection="1">
      <alignment horizontal="center" vertical="top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22" xfId="0" applyFont="1" applyBorder="1" applyAlignment="1" applyProtection="1">
      <alignment horizontal="center" vertical="center" wrapText="1"/>
      <protection hidden="1"/>
    </xf>
    <xf numFmtId="0" fontId="17" fillId="0" borderId="24" xfId="0" applyFont="1" applyBorder="1" applyAlignment="1" applyProtection="1">
      <alignment horizontal="center" vertical="center" wrapText="1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83" fillId="0" borderId="12" xfId="0" applyFont="1" applyBorder="1" applyAlignment="1">
      <alignment horizontal="center" vertical="top"/>
    </xf>
    <xf numFmtId="0" fontId="83" fillId="0" borderId="0" xfId="0" applyFont="1" applyBorder="1" applyAlignment="1">
      <alignment horizontal="center" vertical="top"/>
    </xf>
    <xf numFmtId="0" fontId="83" fillId="0" borderId="13" xfId="0" applyFont="1" applyBorder="1" applyAlignment="1">
      <alignment horizontal="center" vertical="top"/>
    </xf>
    <xf numFmtId="0" fontId="74" fillId="0" borderId="12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0" fontId="74" fillId="0" borderId="13" xfId="0" applyFont="1" applyBorder="1" applyAlignment="1">
      <alignment horizontal="left" vertical="top"/>
    </xf>
    <xf numFmtId="0" fontId="88" fillId="38" borderId="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74" fillId="0" borderId="0" xfId="0" applyFont="1" applyFill="1" applyAlignment="1" applyProtection="1">
      <alignment horizontal="center" vertical="top" wrapText="1"/>
      <protection hidden="1"/>
    </xf>
    <xf numFmtId="0" fontId="114" fillId="0" borderId="0" xfId="0" applyFont="1" applyBorder="1" applyAlignment="1" applyProtection="1">
      <alignment horizontal="center" vertical="top"/>
      <protection hidden="1"/>
    </xf>
    <xf numFmtId="0" fontId="42" fillId="0" borderId="21" xfId="0" applyFont="1" applyBorder="1" applyAlignment="1" applyProtection="1">
      <alignment horizontal="right" vertical="top"/>
      <protection hidden="1"/>
    </xf>
    <xf numFmtId="0" fontId="42" fillId="0" borderId="0" xfId="0" applyFont="1" applyAlignment="1" applyProtection="1">
      <alignment horizontal="right" vertical="top"/>
      <protection hidden="1"/>
    </xf>
    <xf numFmtId="0" fontId="33" fillId="0" borderId="0" xfId="0" applyFont="1" applyAlignment="1" applyProtection="1">
      <alignment horizontal="center" vertical="top"/>
      <protection hidden="1"/>
    </xf>
    <xf numFmtId="0" fontId="33" fillId="0" borderId="16" xfId="0" applyFont="1" applyBorder="1" applyAlignment="1" applyProtection="1">
      <alignment horizontal="left" vertical="top"/>
      <protection hidden="1"/>
    </xf>
    <xf numFmtId="0" fontId="33" fillId="0" borderId="25" xfId="0" applyFont="1" applyBorder="1" applyAlignment="1" applyProtection="1">
      <alignment horizontal="left" vertical="top"/>
      <protection hidden="1"/>
    </xf>
    <xf numFmtId="0" fontId="33" fillId="0" borderId="26" xfId="0" applyFont="1" applyBorder="1" applyAlignment="1" applyProtection="1">
      <alignment horizontal="left" vertical="top"/>
      <protection hidden="1"/>
    </xf>
    <xf numFmtId="0" fontId="74" fillId="0" borderId="20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18" xfId="0" applyFont="1" applyBorder="1" applyAlignment="1">
      <alignment horizontal="left" vertical="center" wrapText="1"/>
    </xf>
    <xf numFmtId="3" fontId="17" fillId="0" borderId="15" xfId="0" applyNumberFormat="1" applyFont="1" applyBorder="1" applyAlignment="1" applyProtection="1">
      <alignment horizontal="left" vertical="top" wrapText="1"/>
      <protection locked="0"/>
    </xf>
    <xf numFmtId="3" fontId="17" fillId="0" borderId="21" xfId="0" applyNumberFormat="1" applyFont="1" applyBorder="1" applyAlignment="1" applyProtection="1">
      <alignment horizontal="left" vertical="top" wrapText="1"/>
      <protection locked="0"/>
    </xf>
    <xf numFmtId="3" fontId="17" fillId="0" borderId="19" xfId="0" applyNumberFormat="1" applyFont="1" applyBorder="1" applyAlignment="1" applyProtection="1">
      <alignment horizontal="left" vertical="top" wrapText="1"/>
      <protection locked="0"/>
    </xf>
    <xf numFmtId="3" fontId="17" fillId="0" borderId="12" xfId="0" applyNumberFormat="1" applyFont="1" applyBorder="1" applyAlignment="1" applyProtection="1">
      <alignment horizontal="left" vertical="top" wrapText="1"/>
      <protection locked="0"/>
    </xf>
    <xf numFmtId="3" fontId="17" fillId="0" borderId="0" xfId="0" applyNumberFormat="1" applyFont="1" applyBorder="1" applyAlignment="1" applyProtection="1">
      <alignment horizontal="left" vertical="top" wrapText="1"/>
      <protection locked="0"/>
    </xf>
    <xf numFmtId="3" fontId="17" fillId="0" borderId="13" xfId="0" applyNumberFormat="1" applyFont="1" applyBorder="1" applyAlignment="1" applyProtection="1">
      <alignment horizontal="left" vertical="top" wrapText="1"/>
      <protection locked="0"/>
    </xf>
    <xf numFmtId="3" fontId="17" fillId="0" borderId="20" xfId="0" applyNumberFormat="1" applyFont="1" applyBorder="1" applyAlignment="1" applyProtection="1">
      <alignment horizontal="left" vertical="top" wrapText="1"/>
      <protection locked="0"/>
    </xf>
    <xf numFmtId="3" fontId="17" fillId="0" borderId="14" xfId="0" applyNumberFormat="1" applyFont="1" applyBorder="1" applyAlignment="1" applyProtection="1">
      <alignment horizontal="left" vertical="top" wrapText="1"/>
      <protection locked="0"/>
    </xf>
    <xf numFmtId="3" fontId="17" fillId="0" borderId="18" xfId="0" applyNumberFormat="1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21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4" fillId="0" borderId="12" xfId="0" applyFont="1" applyBorder="1" applyAlignment="1" applyProtection="1">
      <alignment horizontal="center" vertical="top" wrapText="1"/>
      <protection hidden="1"/>
    </xf>
    <xf numFmtId="0" fontId="74" fillId="0" borderId="0" xfId="0" applyFont="1" applyBorder="1" applyAlignment="1" applyProtection="1">
      <alignment horizontal="center" vertical="top" wrapText="1"/>
      <protection hidden="1"/>
    </xf>
    <xf numFmtId="0" fontId="74" fillId="0" borderId="13" xfId="0" applyFont="1" applyBorder="1" applyAlignment="1" applyProtection="1">
      <alignment horizontal="center" vertical="top" wrapText="1"/>
      <protection hidden="1"/>
    </xf>
    <xf numFmtId="0" fontId="74" fillId="0" borderId="20" xfId="0" applyFont="1" applyBorder="1" applyAlignment="1" applyProtection="1">
      <alignment horizontal="center" vertical="top" wrapText="1"/>
      <protection hidden="1"/>
    </xf>
    <xf numFmtId="0" fontId="74" fillId="0" borderId="14" xfId="0" applyFont="1" applyBorder="1" applyAlignment="1" applyProtection="1">
      <alignment horizontal="center" vertical="top" wrapText="1"/>
      <protection hidden="1"/>
    </xf>
    <xf numFmtId="0" fontId="74" fillId="0" borderId="18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33" fillId="0" borderId="0" xfId="0" applyFont="1" applyAlignment="1" applyProtection="1">
      <alignment horizontal="right"/>
      <protection hidden="1"/>
    </xf>
    <xf numFmtId="0" fontId="83" fillId="0" borderId="20" xfId="0" applyFont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83" fillId="0" borderId="1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strike val="0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strike val="0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120</xdr:row>
      <xdr:rowOff>0</xdr:rowOff>
    </xdr:from>
    <xdr:to>
      <xdr:col>9</xdr:col>
      <xdr:colOff>466725</xdr:colOff>
      <xdr:row>123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420975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00550"/>
          <a:ext cx="742950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2950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87</xdr:row>
      <xdr:rowOff>0</xdr:rowOff>
    </xdr:to>
    <xdr:sp>
      <xdr:nvSpPr>
        <xdr:cNvPr id="12" name="Line 121"/>
        <xdr:cNvSpPr>
          <a:spLocks/>
        </xdr:cNvSpPr>
      </xdr:nvSpPr>
      <xdr:spPr>
        <a:xfrm>
          <a:off x="0" y="757237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161925</xdr:rowOff>
    </xdr:from>
    <xdr:to>
      <xdr:col>23</xdr:col>
      <xdr:colOff>9525</xdr:colOff>
      <xdr:row>87</xdr:row>
      <xdr:rowOff>161925</xdr:rowOff>
    </xdr:to>
    <xdr:sp>
      <xdr:nvSpPr>
        <xdr:cNvPr id="13" name="Line 121"/>
        <xdr:cNvSpPr>
          <a:spLocks/>
        </xdr:cNvSpPr>
      </xdr:nvSpPr>
      <xdr:spPr>
        <a:xfrm>
          <a:off x="0" y="7734300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161925</xdr:rowOff>
    </xdr:from>
    <xdr:to>
      <xdr:col>23</xdr:col>
      <xdr:colOff>9525</xdr:colOff>
      <xdr:row>88</xdr:row>
      <xdr:rowOff>161925</xdr:rowOff>
    </xdr:to>
    <xdr:sp>
      <xdr:nvSpPr>
        <xdr:cNvPr id="14" name="Line 121"/>
        <xdr:cNvSpPr>
          <a:spLocks/>
        </xdr:cNvSpPr>
      </xdr:nvSpPr>
      <xdr:spPr>
        <a:xfrm>
          <a:off x="0" y="7896225"/>
          <a:ext cx="7429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433</xdr:row>
      <xdr:rowOff>9525</xdr:rowOff>
    </xdr:from>
    <xdr:to>
      <xdr:col>23</xdr:col>
      <xdr:colOff>38100</xdr:colOff>
      <xdr:row>436</xdr:row>
      <xdr:rowOff>9525</xdr:rowOff>
    </xdr:to>
    <xdr:grpSp>
      <xdr:nvGrpSpPr>
        <xdr:cNvPr id="15" name="Группа 17"/>
        <xdr:cNvGrpSpPr>
          <a:grpSpLocks/>
        </xdr:cNvGrpSpPr>
      </xdr:nvGrpSpPr>
      <xdr:grpSpPr>
        <a:xfrm>
          <a:off x="28575" y="60236100"/>
          <a:ext cx="742950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6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69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3.50390625" style="5" hidden="1" customWidth="1"/>
    <col min="16" max="16" width="9.875" style="5" hidden="1" customWidth="1"/>
    <col min="17" max="17" width="13.375" style="5" hidden="1" customWidth="1"/>
    <col min="18" max="18" width="8.00390625" style="5" hidden="1" customWidth="1"/>
    <col min="19" max="19" width="41.875" style="5" hidden="1" customWidth="1"/>
    <col min="20" max="20" width="1.12109375" style="5" customWidth="1"/>
    <col min="21" max="16384" width="9.125" style="5" customWidth="1"/>
  </cols>
  <sheetData>
    <row r="1" spans="1:20" ht="15.75" customHeight="1">
      <c r="A1" s="668" t="str">
        <f>A128</f>
        <v>Введите данные в ячейки, выделенные голубым и зеленым цветом</v>
      </c>
      <c r="B1" s="669"/>
      <c r="C1" s="669"/>
      <c r="D1" s="669"/>
      <c r="E1" s="669"/>
      <c r="F1" s="669"/>
      <c r="G1" s="669"/>
      <c r="H1" s="669"/>
      <c r="I1" s="669"/>
      <c r="J1" s="670"/>
      <c r="K1" s="1"/>
      <c r="T1" s="555" t="s">
        <v>318</v>
      </c>
    </row>
    <row r="2" spans="1:20" ht="13.5" customHeight="1">
      <c r="A2" s="656"/>
      <c r="B2" s="657"/>
      <c r="C2" s="657"/>
      <c r="D2" s="657"/>
      <c r="E2" s="657"/>
      <c r="F2" s="657"/>
      <c r="G2" s="657"/>
      <c r="H2" s="657"/>
      <c r="I2" s="657"/>
      <c r="J2" s="658"/>
      <c r="K2" s="1"/>
      <c r="T2" s="583" t="s">
        <v>587</v>
      </c>
    </row>
    <row r="3" spans="1:20" ht="35.25" customHeight="1" thickBot="1">
      <c r="A3" s="671" t="s">
        <v>0</v>
      </c>
      <c r="B3" s="672"/>
      <c r="C3" s="672"/>
      <c r="D3" s="672"/>
      <c r="E3" s="672"/>
      <c r="F3" s="672"/>
      <c r="G3" s="672"/>
      <c r="H3" s="672"/>
      <c r="I3" s="672"/>
      <c r="J3" s="673"/>
      <c r="K3" s="6"/>
      <c r="L3" s="7"/>
      <c r="M3" s="7"/>
      <c r="S3" s="394"/>
      <c r="T3" s="387"/>
    </row>
    <row r="4" spans="1:20" ht="17.25" customHeight="1" thickBot="1">
      <c r="A4" s="540" t="s">
        <v>1</v>
      </c>
      <c r="B4" s="674">
        <v>1</v>
      </c>
      <c r="C4" s="675"/>
      <c r="D4" s="541"/>
      <c r="E4" s="549" t="s">
        <v>370</v>
      </c>
      <c r="F4" s="542"/>
      <c r="G4" s="543"/>
      <c r="H4" s="685" t="s">
        <v>181</v>
      </c>
      <c r="I4" s="685"/>
      <c r="J4" s="686"/>
      <c r="K4" s="8"/>
      <c r="L4" s="8"/>
      <c r="M4" s="8"/>
      <c r="N4" s="8"/>
      <c r="O4" s="8"/>
      <c r="P4" s="8"/>
      <c r="Q4" s="8"/>
      <c r="S4" s="394"/>
      <c r="T4" s="387"/>
    </row>
    <row r="5" spans="1:23" ht="10.5" customHeight="1">
      <c r="A5" s="544"/>
      <c r="B5" s="541"/>
      <c r="C5" s="541"/>
      <c r="D5" s="541"/>
      <c r="E5" s="550" t="str">
        <f aca="true" t="shared" si="0" ref="E5:E16">VLOOKUP(A131,$A$131:$H$143,$B$4+1)</f>
        <v>Балашиха</v>
      </c>
      <c r="F5" s="545"/>
      <c r="G5" s="389"/>
      <c r="H5" s="619" t="s">
        <v>559</v>
      </c>
      <c r="I5" s="619"/>
      <c r="J5" s="620"/>
      <c r="K5" s="8"/>
      <c r="L5" s="8"/>
      <c r="M5" s="8"/>
      <c r="N5" s="8"/>
      <c r="O5" s="8"/>
      <c r="P5" s="8"/>
      <c r="Q5" s="8"/>
      <c r="S5" s="394"/>
      <c r="T5" s="387"/>
      <c r="W5" s="582"/>
    </row>
    <row r="6" spans="1:20" ht="10.5" customHeight="1">
      <c r="A6" s="544"/>
      <c r="B6" s="541"/>
      <c r="C6" s="541"/>
      <c r="D6" s="541"/>
      <c r="E6" s="550" t="str">
        <f t="shared" si="0"/>
        <v>Богородский</v>
      </c>
      <c r="F6" s="545"/>
      <c r="G6" s="389"/>
      <c r="H6" s="619"/>
      <c r="I6" s="619"/>
      <c r="J6" s="620"/>
      <c r="K6" s="8"/>
      <c r="L6" s="8"/>
      <c r="M6" s="8"/>
      <c r="N6" s="8"/>
      <c r="O6" s="8"/>
      <c r="P6" s="8"/>
      <c r="Q6" s="8"/>
      <c r="S6" s="394"/>
      <c r="T6" s="387"/>
    </row>
    <row r="7" spans="1:20" ht="10.5" customHeight="1">
      <c r="A7" s="544"/>
      <c r="B7" s="541"/>
      <c r="C7" s="541"/>
      <c r="D7" s="541"/>
      <c r="E7" s="550" t="str">
        <f t="shared" si="0"/>
        <v>Орехово-Зуевский</v>
      </c>
      <c r="F7" s="545"/>
      <c r="G7" s="389"/>
      <c r="H7" s="619"/>
      <c r="I7" s="619"/>
      <c r="J7" s="620"/>
      <c r="K7" s="8"/>
      <c r="L7" s="8"/>
      <c r="M7" s="8"/>
      <c r="N7" s="8"/>
      <c r="O7" s="8"/>
      <c r="P7" s="8"/>
      <c r="Q7" s="8"/>
      <c r="S7" s="394"/>
      <c r="T7" s="387"/>
    </row>
    <row r="8" spans="1:20" ht="10.5" customHeight="1" thickBot="1">
      <c r="A8" s="544"/>
      <c r="B8" s="541"/>
      <c r="C8" s="541"/>
      <c r="D8" s="541"/>
      <c r="E8" s="550" t="str">
        <f t="shared" si="0"/>
        <v>Павловский Посад</v>
      </c>
      <c r="F8" s="545"/>
      <c r="G8" s="389"/>
      <c r="H8" s="616" t="s">
        <v>593</v>
      </c>
      <c r="I8" s="616"/>
      <c r="J8" s="617"/>
      <c r="K8" s="8"/>
      <c r="L8" s="8"/>
      <c r="M8" s="8"/>
      <c r="N8" s="8"/>
      <c r="O8" s="8"/>
      <c r="P8" s="8"/>
      <c r="Q8" s="8"/>
      <c r="S8" s="394"/>
      <c r="T8" s="387"/>
    </row>
    <row r="9" spans="1:20" ht="10.5" customHeight="1" thickTop="1">
      <c r="A9" s="544"/>
      <c r="B9" s="541"/>
      <c r="C9" s="541"/>
      <c r="D9" s="541"/>
      <c r="E9" s="550" t="str">
        <f t="shared" si="0"/>
        <v>Реутов</v>
      </c>
      <c r="F9" s="545"/>
      <c r="G9" s="389"/>
      <c r="H9" s="616"/>
      <c r="I9" s="616"/>
      <c r="J9" s="617"/>
      <c r="K9" s="8"/>
      <c r="L9" s="10"/>
      <c r="O9" s="9"/>
      <c r="S9" s="394"/>
      <c r="T9" s="387"/>
    </row>
    <row r="10" spans="1:20" ht="10.5" customHeight="1" thickBot="1">
      <c r="A10" s="544"/>
      <c r="B10" s="541"/>
      <c r="C10" s="541"/>
      <c r="D10" s="541"/>
      <c r="E10" s="550" t="str">
        <f t="shared" si="0"/>
        <v>Черноголовка</v>
      </c>
      <c r="F10" s="545"/>
      <c r="G10" s="389"/>
      <c r="H10" s="616"/>
      <c r="I10" s="616"/>
      <c r="J10" s="617"/>
      <c r="K10" s="8"/>
      <c r="L10" s="12"/>
      <c r="M10" s="464" t="str">
        <f>"порог для __"&amp;ЗаявлКатег_ОС&amp;"__"&amp;B24</f>
        <v>порог для __первая__музыкальный руководитель</v>
      </c>
      <c r="N10" s="462"/>
      <c r="O10" s="463"/>
      <c r="P10" s="461">
        <f>VLOOKUP(ЗаявлКатег_ОС,M12:N13,2)</f>
        <v>200</v>
      </c>
      <c r="S10" s="394"/>
      <c r="T10" s="387"/>
    </row>
    <row r="11" spans="1:20" ht="10.5" customHeight="1" thickTop="1">
      <c r="A11" s="544"/>
      <c r="B11" s="541"/>
      <c r="C11" s="541"/>
      <c r="D11" s="541"/>
      <c r="E11" s="550" t="str">
        <f t="shared" si="0"/>
        <v>Электрогорск</v>
      </c>
      <c r="F11" s="545"/>
      <c r="G11" s="389"/>
      <c r="H11" s="616"/>
      <c r="I11" s="616"/>
      <c r="J11" s="617"/>
      <c r="K11" s="8"/>
      <c r="M11" s="460"/>
      <c r="N11" s="460"/>
      <c r="P11" s="374" t="s">
        <v>4</v>
      </c>
      <c r="S11" s="394"/>
      <c r="T11" s="387"/>
    </row>
    <row r="12" spans="1:20" ht="10.5" customHeight="1">
      <c r="A12" s="544"/>
      <c r="B12" s="541"/>
      <c r="C12" s="541"/>
      <c r="D12" s="541"/>
      <c r="E12" s="550" t="str">
        <f t="shared" si="0"/>
        <v>Электросталь</v>
      </c>
      <c r="F12" s="545"/>
      <c r="G12" s="389"/>
      <c r="H12" s="616"/>
      <c r="I12" s="616"/>
      <c r="J12" s="617"/>
      <c r="K12" s="8"/>
      <c r="L12" s="465"/>
      <c r="M12" s="375" t="s">
        <v>3</v>
      </c>
      <c r="N12" s="384">
        <f>VLOOKUP($B$24,$L$18:$N$24,3)</f>
        <v>390</v>
      </c>
      <c r="P12" s="373">
        <f>VLOOKUP(B24,L18:P24,5)</f>
        <v>5</v>
      </c>
      <c r="S12" s="394"/>
      <c r="T12" s="387"/>
    </row>
    <row r="13" spans="1:20" ht="12.75" customHeight="1">
      <c r="A13" s="544"/>
      <c r="B13" s="541"/>
      <c r="C13" s="541"/>
      <c r="D13" s="541"/>
      <c r="E13" s="550" t="str">
        <f t="shared" si="0"/>
        <v> </v>
      </c>
      <c r="F13" s="545"/>
      <c r="G13" s="389"/>
      <c r="H13" s="619" t="s">
        <v>596</v>
      </c>
      <c r="I13" s="619"/>
      <c r="J13" s="620"/>
      <c r="K13" s="8"/>
      <c r="M13" s="376" t="s">
        <v>2</v>
      </c>
      <c r="N13" s="384">
        <f>VLOOKUP($B$24,$L$18:$N$24,2)</f>
        <v>200</v>
      </c>
      <c r="P13" s="472" t="str">
        <f>VLOOKUP(B24,L20:Q25,4)</f>
        <v>ДОО</v>
      </c>
      <c r="S13" s="394"/>
      <c r="T13" s="387"/>
    </row>
    <row r="14" spans="1:20" ht="10.5" customHeight="1">
      <c r="A14" s="546"/>
      <c r="B14" s="389"/>
      <c r="C14" s="541"/>
      <c r="D14" s="541"/>
      <c r="E14" s="550" t="str">
        <f t="shared" si="0"/>
        <v> </v>
      </c>
      <c r="F14" s="545"/>
      <c r="G14" s="389"/>
      <c r="H14" s="619"/>
      <c r="I14" s="619"/>
      <c r="J14" s="620"/>
      <c r="K14" s="8"/>
      <c r="L14" s="15"/>
      <c r="O14" s="19"/>
      <c r="P14" s="20"/>
      <c r="S14" s="394"/>
      <c r="T14" s="387"/>
    </row>
    <row r="15" spans="1:20" ht="10.5" customHeight="1">
      <c r="A15" s="544"/>
      <c r="B15" s="389"/>
      <c r="C15" s="541"/>
      <c r="D15" s="541"/>
      <c r="E15" s="550" t="str">
        <f t="shared" si="0"/>
        <v> </v>
      </c>
      <c r="F15" s="545"/>
      <c r="G15" s="389"/>
      <c r="H15" s="619"/>
      <c r="I15" s="619"/>
      <c r="J15" s="620"/>
      <c r="K15" s="8"/>
      <c r="L15" s="15"/>
      <c r="O15" s="17"/>
      <c r="P15" s="20"/>
      <c r="S15" s="394"/>
      <c r="T15" s="387"/>
    </row>
    <row r="16" spans="1:20" ht="10.5" customHeight="1">
      <c r="A16" s="544"/>
      <c r="B16" s="389"/>
      <c r="C16" s="389"/>
      <c r="D16" s="389"/>
      <c r="E16" s="551" t="str">
        <f t="shared" si="0"/>
        <v> </v>
      </c>
      <c r="F16" s="547"/>
      <c r="G16" s="389"/>
      <c r="H16" s="619"/>
      <c r="I16" s="619"/>
      <c r="J16" s="620"/>
      <c r="K16" s="25"/>
      <c r="L16" s="18"/>
      <c r="M16" s="16"/>
      <c r="N16" s="16"/>
      <c r="O16" s="19"/>
      <c r="P16" s="20"/>
      <c r="S16" s="394"/>
      <c r="T16" s="387"/>
    </row>
    <row r="17" spans="1:20" ht="3.75" customHeight="1">
      <c r="A17" s="544"/>
      <c r="B17" s="389"/>
      <c r="C17" s="389"/>
      <c r="D17" s="389"/>
      <c r="E17" s="548"/>
      <c r="F17" s="389"/>
      <c r="G17" s="389"/>
      <c r="H17" s="619"/>
      <c r="I17" s="619"/>
      <c r="J17" s="620"/>
      <c r="K17" s="26"/>
      <c r="L17" s="12"/>
      <c r="M17" s="16" t="s">
        <v>2</v>
      </c>
      <c r="N17" s="16" t="s">
        <v>3</v>
      </c>
      <c r="P17" s="14"/>
      <c r="S17" s="394"/>
      <c r="T17" s="387"/>
    </row>
    <row r="18" spans="1:20" ht="24" customHeight="1" hidden="1">
      <c r="A18" s="692" t="s">
        <v>592</v>
      </c>
      <c r="B18" s="693"/>
      <c r="C18" s="693"/>
      <c r="D18" s="693"/>
      <c r="E18" s="693"/>
      <c r="F18" s="693"/>
      <c r="G18" s="693"/>
      <c r="H18" s="693"/>
      <c r="I18" s="412"/>
      <c r="J18" s="413"/>
      <c r="K18" s="278" t="str">
        <f>IF(COUNTIF(C20:C22,"да"),"да","нет")</f>
        <v>нет</v>
      </c>
      <c r="L18" s="474" t="s">
        <v>487</v>
      </c>
      <c r="M18" s="22">
        <v>210</v>
      </c>
      <c r="N18" s="22">
        <v>450</v>
      </c>
      <c r="O18" s="23" t="s">
        <v>489</v>
      </c>
      <c r="P18" s="426">
        <v>1</v>
      </c>
      <c r="S18" s="394"/>
      <c r="T18" s="387"/>
    </row>
    <row r="19" spans="1:20" ht="15" hidden="1">
      <c r="A19" s="477" t="s">
        <v>473</v>
      </c>
      <c r="B19" s="478"/>
      <c r="C19" s="478"/>
      <c r="D19" s="30"/>
      <c r="E19" s="30"/>
      <c r="F19" s="30"/>
      <c r="G19" s="31"/>
      <c r="H19" s="13"/>
      <c r="I19" s="13"/>
      <c r="J19" s="29"/>
      <c r="L19" s="473" t="s">
        <v>488</v>
      </c>
      <c r="M19" s="427">
        <v>270</v>
      </c>
      <c r="N19" s="427">
        <v>510</v>
      </c>
      <c r="O19" s="428" t="s">
        <v>489</v>
      </c>
      <c r="P19" s="429">
        <v>2</v>
      </c>
      <c r="S19" s="394"/>
      <c r="T19" s="387"/>
    </row>
    <row r="20" spans="1:20" ht="13.5" hidden="1">
      <c r="A20" s="315"/>
      <c r="B20" s="479" t="s">
        <v>471</v>
      </c>
      <c r="C20" s="480" t="s">
        <v>25</v>
      </c>
      <c r="J20" s="29"/>
      <c r="K20" s="26"/>
      <c r="L20" s="468" t="s">
        <v>517</v>
      </c>
      <c r="M20" s="469">
        <v>210</v>
      </c>
      <c r="N20" s="469">
        <v>400</v>
      </c>
      <c r="O20" s="470" t="s">
        <v>518</v>
      </c>
      <c r="P20" s="585">
        <v>0</v>
      </c>
      <c r="Q20" s="470" t="s">
        <v>526</v>
      </c>
      <c r="S20" s="394"/>
      <c r="T20" s="387"/>
    </row>
    <row r="21" spans="1:20" ht="13.5" hidden="1">
      <c r="A21" s="315"/>
      <c r="B21" s="481" t="s">
        <v>472</v>
      </c>
      <c r="C21" s="480" t="s">
        <v>25</v>
      </c>
      <c r="F21" s="13"/>
      <c r="G21" s="13"/>
      <c r="J21" s="29"/>
      <c r="K21" s="26"/>
      <c r="L21" s="468" t="s">
        <v>525</v>
      </c>
      <c r="M21" s="469">
        <v>230</v>
      </c>
      <c r="N21" s="469">
        <v>420</v>
      </c>
      <c r="O21" s="470" t="s">
        <v>489</v>
      </c>
      <c r="P21" s="585">
        <v>1</v>
      </c>
      <c r="Q21" s="23" t="s">
        <v>527</v>
      </c>
      <c r="S21" s="394"/>
      <c r="T21" s="387"/>
    </row>
    <row r="22" spans="1:20" ht="13.5" hidden="1">
      <c r="A22" s="315"/>
      <c r="B22" s="481" t="s">
        <v>351</v>
      </c>
      <c r="C22" s="480" t="s">
        <v>25</v>
      </c>
      <c r="E22" s="687" t="s">
        <v>312</v>
      </c>
      <c r="F22" s="687"/>
      <c r="G22" s="687"/>
      <c r="H22" s="687"/>
      <c r="I22" s="687"/>
      <c r="J22" s="687"/>
      <c r="K22" s="26"/>
      <c r="L22" s="21" t="s">
        <v>139</v>
      </c>
      <c r="M22" s="22">
        <v>200</v>
      </c>
      <c r="N22" s="584">
        <v>390</v>
      </c>
      <c r="O22" s="470" t="s">
        <v>518</v>
      </c>
      <c r="P22" s="426">
        <v>5</v>
      </c>
      <c r="Q22" s="23"/>
      <c r="S22" s="394"/>
      <c r="T22" s="387"/>
    </row>
    <row r="23" spans="3:20" ht="9.75" customHeight="1" hidden="1">
      <c r="C23" s="62"/>
      <c r="E23" s="410">
        <f>IF(C22="да","укажите наименование др.мониторингов","")</f>
      </c>
      <c r="L23" s="468"/>
      <c r="M23" s="469"/>
      <c r="N23" s="469"/>
      <c r="O23" s="470"/>
      <c r="P23" s="471"/>
      <c r="Q23" s="23"/>
      <c r="S23" s="394"/>
      <c r="T23" s="387"/>
    </row>
    <row r="24" spans="1:20" ht="13.5" hidden="1">
      <c r="A24" s="31" t="s">
        <v>7</v>
      </c>
      <c r="B24" s="691" t="s">
        <v>139</v>
      </c>
      <c r="C24" s="691"/>
      <c r="D24" s="691"/>
      <c r="E24" s="691"/>
      <c r="F24" s="691"/>
      <c r="G24" s="691"/>
      <c r="H24" s="691"/>
      <c r="I24" s="691"/>
      <c r="K24" s="395" t="str">
        <f>IF(K18="да",L19,L18)</f>
        <v> без учета мониторингов системы образования</v>
      </c>
      <c r="L24" s="21"/>
      <c r="M24" s="16"/>
      <c r="N24" s="16"/>
      <c r="O24" s="23"/>
      <c r="P24" s="24"/>
      <c r="Q24" s="23"/>
      <c r="S24" s="394"/>
      <c r="T24" s="387"/>
    </row>
    <row r="25" spans="1:20" ht="13.5" hidden="1">
      <c r="A25" s="31"/>
      <c r="B25" s="411"/>
      <c r="C25" s="411"/>
      <c r="D25" s="411"/>
      <c r="E25" s="411"/>
      <c r="F25" s="411"/>
      <c r="G25" s="411"/>
      <c r="H25" s="411"/>
      <c r="I25" s="411"/>
      <c r="K25" s="395"/>
      <c r="S25" s="394"/>
      <c r="T25" s="387"/>
    </row>
    <row r="26" spans="1:20" ht="13.5" hidden="1">
      <c r="A26" s="31"/>
      <c r="B26" s="411"/>
      <c r="C26" s="411"/>
      <c r="D26" s="411"/>
      <c r="E26" s="411"/>
      <c r="F26" s="411"/>
      <c r="G26" s="411"/>
      <c r="H26" s="411"/>
      <c r="I26" s="411"/>
      <c r="K26" s="395"/>
      <c r="L26" s="21"/>
      <c r="M26" s="27"/>
      <c r="N26" s="27"/>
      <c r="O26" s="23"/>
      <c r="P26" s="24"/>
      <c r="S26" s="394"/>
      <c r="T26" s="387"/>
    </row>
    <row r="27" spans="1:20" ht="6.75" customHeight="1">
      <c r="A27" s="31"/>
      <c r="B27" s="411"/>
      <c r="C27" s="411"/>
      <c r="D27" s="411"/>
      <c r="E27" s="411"/>
      <c r="F27" s="411"/>
      <c r="G27" s="411"/>
      <c r="H27" s="411"/>
      <c r="I27" s="411"/>
      <c r="J27" s="29"/>
      <c r="K27" s="395"/>
      <c r="L27" s="21"/>
      <c r="M27" s="27"/>
      <c r="N27" s="27"/>
      <c r="O27" s="23"/>
      <c r="P27" s="24"/>
      <c r="S27" s="394"/>
      <c r="T27" s="387"/>
    </row>
    <row r="28" spans="1:20" ht="20.25" customHeight="1">
      <c r="A28" s="679" t="s">
        <v>8</v>
      </c>
      <c r="B28" s="665"/>
      <c r="C28" s="665"/>
      <c r="D28" s="665"/>
      <c r="E28" s="665"/>
      <c r="F28" s="665"/>
      <c r="G28" s="665"/>
      <c r="H28" s="665"/>
      <c r="I28" s="665"/>
      <c r="J28" s="34"/>
      <c r="K28" s="35"/>
      <c r="L28" s="16"/>
      <c r="M28" s="33"/>
      <c r="N28" s="13"/>
      <c r="S28" s="394"/>
      <c r="T28" s="387"/>
    </row>
    <row r="29" spans="1:20" ht="12.75">
      <c r="A29" s="28"/>
      <c r="B29" s="13"/>
      <c r="C29" s="13"/>
      <c r="D29" s="13"/>
      <c r="E29" s="13"/>
      <c r="F29" s="13"/>
      <c r="G29" s="13"/>
      <c r="H29" s="13"/>
      <c r="I29" s="13"/>
      <c r="J29" s="29"/>
      <c r="K29" s="26"/>
      <c r="L29" s="2" t="s">
        <v>369</v>
      </c>
      <c r="S29" s="394"/>
      <c r="T29" s="387"/>
    </row>
    <row r="30" spans="1:20" ht="15">
      <c r="A30" s="639" t="s">
        <v>9</v>
      </c>
      <c r="B30" s="680"/>
      <c r="C30" s="646"/>
      <c r="D30" s="646"/>
      <c r="E30" s="646"/>
      <c r="F30" s="646"/>
      <c r="G30" s="646"/>
      <c r="H30" s="646"/>
      <c r="I30" s="646"/>
      <c r="J30" s="29"/>
      <c r="K30" s="26"/>
      <c r="L30" s="345">
        <f>CLEAN(TRIM(C30))</f>
      </c>
      <c r="N30" s="4">
        <f>IF(M30="","",LEFT(M30,(FIND(" ",M30)+1))&amp;"."&amp;MID(M30,FIND(" ",M30,FIND(" ",M30)+1)+1,1)&amp;".")</f>
      </c>
      <c r="P30" s="37"/>
      <c r="S30" s="394"/>
      <c r="T30" s="387"/>
    </row>
    <row r="31" spans="1:20" ht="4.5" customHeight="1">
      <c r="A31" s="38"/>
      <c r="B31" s="39"/>
      <c r="C31" s="40"/>
      <c r="D31" s="40"/>
      <c r="E31" s="40"/>
      <c r="F31" s="40"/>
      <c r="G31" s="40"/>
      <c r="H31" s="40"/>
      <c r="I31" s="40"/>
      <c r="J31" s="29"/>
      <c r="K31" s="26"/>
      <c r="S31" s="394"/>
      <c r="T31" s="387"/>
    </row>
    <row r="32" spans="1:20" ht="15">
      <c r="A32" s="639" t="s">
        <v>10</v>
      </c>
      <c r="B32" s="640"/>
      <c r="C32" s="694" t="s">
        <v>370</v>
      </c>
      <c r="D32" s="694"/>
      <c r="E32" s="694"/>
      <c r="G32" s="676"/>
      <c r="H32" s="676"/>
      <c r="I32" s="676"/>
      <c r="J32" s="29"/>
      <c r="L32" s="345" t="str">
        <f>IF(AND(МуницОбр_ОС="",C32&lt;&gt;E4),C32&amp;" "&amp;E4,C32&amp;" "&amp;МуницОбр_ОС)</f>
        <v>городской округ </v>
      </c>
      <c r="M32" s="5"/>
      <c r="N32" s="5"/>
      <c r="S32" s="394"/>
      <c r="T32" s="387"/>
    </row>
    <row r="33" spans="1:20" ht="5.25" customHeight="1">
      <c r="A33" s="38"/>
      <c r="B33" s="39"/>
      <c r="C33" s="40"/>
      <c r="D33" s="40"/>
      <c r="E33" s="40"/>
      <c r="F33" s="40"/>
      <c r="G33" s="40"/>
      <c r="H33" s="40"/>
      <c r="I33" s="40"/>
      <c r="J33" s="29"/>
      <c r="K33" s="26"/>
      <c r="S33" s="394"/>
      <c r="T33" s="387"/>
    </row>
    <row r="34" spans="1:20" ht="15">
      <c r="A34" s="38" t="s">
        <v>11</v>
      </c>
      <c r="B34" s="676"/>
      <c r="C34" s="676"/>
      <c r="D34" s="676"/>
      <c r="E34" s="676"/>
      <c r="F34" s="676"/>
      <c r="G34" s="676"/>
      <c r="H34" s="676"/>
      <c r="I34" s="676"/>
      <c r="J34" s="29"/>
      <c r="K34" s="37">
        <f>LEN(B34)</f>
        <v>0</v>
      </c>
      <c r="L34" s="3">
        <f>TRIM(B34)</f>
      </c>
      <c r="O34" s="41"/>
      <c r="P34" s="7"/>
      <c r="S34" s="394"/>
      <c r="T34" s="387"/>
    </row>
    <row r="35" spans="1:20" ht="15">
      <c r="A35" s="38"/>
      <c r="B35" s="683"/>
      <c r="C35" s="683"/>
      <c r="D35" s="683"/>
      <c r="E35" s="683"/>
      <c r="F35" s="683"/>
      <c r="G35" s="683"/>
      <c r="H35" s="683"/>
      <c r="I35" s="683"/>
      <c r="J35" s="29"/>
      <c r="K35" s="37">
        <f>LEN(B35)</f>
        <v>0</v>
      </c>
      <c r="L35" s="3">
        <f>TRIM(B35)</f>
      </c>
      <c r="P35" s="7"/>
      <c r="S35" s="394"/>
      <c r="T35" s="387"/>
    </row>
    <row r="36" spans="1:20" ht="15" customHeight="1">
      <c r="A36" s="38"/>
      <c r="B36" s="683"/>
      <c r="C36" s="683"/>
      <c r="D36" s="683"/>
      <c r="E36" s="683"/>
      <c r="F36" s="683"/>
      <c r="G36" s="683"/>
      <c r="H36" s="683"/>
      <c r="I36" s="683"/>
      <c r="J36" s="29"/>
      <c r="K36" s="37">
        <f>LEN(B36)</f>
        <v>0</v>
      </c>
      <c r="L36" s="3">
        <f>TRIM(B36)</f>
      </c>
      <c r="O36" s="41"/>
      <c r="P36" s="7"/>
      <c r="S36" s="394"/>
      <c r="T36" s="387"/>
    </row>
    <row r="37" spans="1:20" ht="3.75" customHeight="1">
      <c r="A37" s="38"/>
      <c r="B37" s="274"/>
      <c r="C37" s="274"/>
      <c r="D37" s="274"/>
      <c r="E37" s="274"/>
      <c r="F37" s="274"/>
      <c r="G37" s="274"/>
      <c r="H37" s="274"/>
      <c r="I37" s="274"/>
      <c r="J37" s="29"/>
      <c r="K37" s="37"/>
      <c r="L37" s="3"/>
      <c r="O37" s="41"/>
      <c r="P37" s="7"/>
      <c r="S37" s="394"/>
      <c r="T37" s="387"/>
    </row>
    <row r="38" spans="1:20" ht="15">
      <c r="A38" s="38" t="s">
        <v>12</v>
      </c>
      <c r="B38" s="695" t="s">
        <v>139</v>
      </c>
      <c r="C38" s="695"/>
      <c r="D38" s="695"/>
      <c r="E38" s="695"/>
      <c r="F38" s="695"/>
      <c r="G38" s="695"/>
      <c r="H38" s="695"/>
      <c r="I38" s="689"/>
      <c r="J38" s="690"/>
      <c r="K38" s="26"/>
      <c r="L38" s="5" t="str">
        <f>LOWER(TRIM(B38))</f>
        <v>музыкальный руководитель</v>
      </c>
      <c r="M38" s="37">
        <f>LEN(L39)</f>
        <v>22</v>
      </c>
      <c r="O38" s="41"/>
      <c r="P38" s="7"/>
      <c r="S38" s="394"/>
      <c r="T38" s="387"/>
    </row>
    <row r="39" spans="1:20" ht="15">
      <c r="A39" s="38" t="s">
        <v>183</v>
      </c>
      <c r="B39" s="696" t="s">
        <v>531</v>
      </c>
      <c r="C39" s="696"/>
      <c r="D39" s="696"/>
      <c r="E39" s="696"/>
      <c r="F39" s="696"/>
      <c r="G39" s="696"/>
      <c r="H39" s="696"/>
      <c r="I39" s="681"/>
      <c r="J39" s="682"/>
      <c r="K39" s="78" t="str">
        <f>ЭЗ!AC35</f>
        <v>.</v>
      </c>
      <c r="L39" s="3" t="str">
        <f>TRIM(B39)</f>
        <v>дошкольное образование</v>
      </c>
      <c r="M39" s="37">
        <f>IF(B38="",0,1)</f>
        <v>1</v>
      </c>
      <c r="S39" s="394"/>
      <c r="T39" s="387"/>
    </row>
    <row r="40" spans="1:20" ht="18.75" customHeight="1">
      <c r="A40" s="28"/>
      <c r="B40" s="700" t="str">
        <f>IF(A39=".","","укажите специализацию пед.работника в именительном падеже ")</f>
        <v>укажите специализацию пед.работника в именительном падеже </v>
      </c>
      <c r="C40" s="700"/>
      <c r="D40" s="700"/>
      <c r="E40" s="700"/>
      <c r="F40" s="700"/>
      <c r="G40" s="700"/>
      <c r="H40" s="700"/>
      <c r="I40" s="13"/>
      <c r="J40" s="29"/>
      <c r="K40" s="26"/>
      <c r="L40" s="5"/>
      <c r="S40" s="394"/>
      <c r="T40" s="387"/>
    </row>
    <row r="41" spans="1:20" ht="13.5" hidden="1">
      <c r="A41" s="38"/>
      <c r="B41" s="39"/>
      <c r="C41" s="13"/>
      <c r="D41" s="13"/>
      <c r="E41" s="13"/>
      <c r="F41" s="13"/>
      <c r="G41" s="13"/>
      <c r="H41" s="13"/>
      <c r="I41" s="13"/>
      <c r="J41" s="29"/>
      <c r="K41" s="26"/>
      <c r="L41" s="42"/>
      <c r="S41" s="394"/>
      <c r="T41" s="387"/>
    </row>
    <row r="42" spans="1:20" ht="13.5" hidden="1">
      <c r="A42" s="43"/>
      <c r="B42" s="44"/>
      <c r="C42" s="684"/>
      <c r="D42" s="684"/>
      <c r="E42" s="684"/>
      <c r="F42" s="684"/>
      <c r="G42" s="684"/>
      <c r="H42" s="684"/>
      <c r="I42" s="684"/>
      <c r="J42" s="29"/>
      <c r="K42" s="26"/>
      <c r="L42" s="42"/>
      <c r="S42" s="394"/>
      <c r="T42" s="387"/>
    </row>
    <row r="43" spans="1:20" ht="4.5" customHeight="1">
      <c r="A43" s="45"/>
      <c r="B43" s="46"/>
      <c r="C43" s="47"/>
      <c r="D43" s="48"/>
      <c r="E43" s="47"/>
      <c r="F43" s="49"/>
      <c r="G43" s="49"/>
      <c r="H43" s="49"/>
      <c r="I43" s="49"/>
      <c r="J43" s="29"/>
      <c r="K43" s="26"/>
      <c r="L43" s="42"/>
      <c r="S43" s="394"/>
      <c r="T43" s="387"/>
    </row>
    <row r="44" spans="1:20" ht="15">
      <c r="A44" s="677" t="s">
        <v>14</v>
      </c>
      <c r="B44" s="678"/>
      <c r="C44" s="678"/>
      <c r="D44" s="50">
        <v>2</v>
      </c>
      <c r="E44" s="51" t="str">
        <f>L44</f>
        <v>года</v>
      </c>
      <c r="F44" s="51"/>
      <c r="G44" s="51"/>
      <c r="H44" s="51"/>
      <c r="I44" s="51"/>
      <c r="J44" s="52"/>
      <c r="K44" s="200">
        <f>IF(стаж_ОС&lt;16,стаж_ОС,MOD(стаж_ОС,10))</f>
        <v>2</v>
      </c>
      <c r="L44" s="2" t="str">
        <f>IF(K44=1,"год",IF(AND(K44&gt;1,K44&lt;5),"года","лет"))</f>
        <v>года</v>
      </c>
      <c r="M44" s="53"/>
      <c r="S44" s="394"/>
      <c r="T44" s="387"/>
    </row>
    <row r="45" spans="1:20" ht="6.75" customHeight="1">
      <c r="A45" s="59"/>
      <c r="B45" s="60"/>
      <c r="C45" s="60"/>
      <c r="D45" s="60"/>
      <c r="E45" s="60"/>
      <c r="F45" s="60"/>
      <c r="G45" s="51"/>
      <c r="H45" s="51"/>
      <c r="I45" s="51"/>
      <c r="J45" s="358"/>
      <c r="K45" s="200"/>
      <c r="M45" s="53"/>
      <c r="S45" s="394"/>
      <c r="T45" s="387"/>
    </row>
    <row r="46" spans="1:20" ht="15">
      <c r="A46" s="677" t="s">
        <v>15</v>
      </c>
      <c r="B46" s="678"/>
      <c r="C46" s="678"/>
      <c r="D46" s="225" t="s">
        <v>25</v>
      </c>
      <c r="E46" s="466">
        <f>IF(AND(катег_ОС="нет",датаПрисв&lt;&gt;0),"Внимание!_НЕТ_","")</f>
      </c>
      <c r="F46" s="184">
        <f>IF(катег_ОС="нет","","дата присвоения")</f>
      </c>
      <c r="G46" s="202"/>
      <c r="H46" s="202"/>
      <c r="I46" s="403"/>
      <c r="K46" s="402">
        <f>IF(OR(катег_ОС="нет",датаПрисв=0),"",датаПрисв)</f>
      </c>
      <c r="L46" s="56" t="s">
        <v>17</v>
      </c>
      <c r="M46" s="57">
        <f ca="1">TODAY()-5*365-90</f>
        <v>42487</v>
      </c>
      <c r="N46" s="57">
        <f ca="1">TODAY()</f>
        <v>44402</v>
      </c>
      <c r="O46" s="58">
        <f>N46-5*365-40</f>
        <v>42537</v>
      </c>
      <c r="S46" s="394"/>
      <c r="T46" s="387"/>
    </row>
    <row r="47" spans="1:20" ht="4.5" customHeight="1">
      <c r="A47" s="59"/>
      <c r="B47" s="60"/>
      <c r="C47" s="60"/>
      <c r="D47" s="61"/>
      <c r="E47" s="39"/>
      <c r="F47" s="62"/>
      <c r="G47" s="62"/>
      <c r="H47" s="62"/>
      <c r="I47" s="62"/>
      <c r="J47" s="54"/>
      <c r="K47" s="55"/>
      <c r="L47" s="63"/>
      <c r="M47" s="227" t="s">
        <v>276</v>
      </c>
      <c r="N47" s="227" t="s">
        <v>277</v>
      </c>
      <c r="S47" s="394"/>
      <c r="T47" s="387"/>
    </row>
    <row r="48" spans="1:20" ht="15">
      <c r="A48" s="59" t="s">
        <v>18</v>
      </c>
      <c r="B48" s="60"/>
      <c r="C48" s="60"/>
      <c r="D48" s="224" t="s">
        <v>2</v>
      </c>
      <c r="E48" s="404">
        <f>IF(F48="","","примеч.")</f>
      </c>
      <c r="F48" s="688"/>
      <c r="G48" s="688"/>
      <c r="H48" s="688"/>
      <c r="I48" s="405"/>
      <c r="J48" s="406">
        <f>IF(E48="","",")")</f>
      </c>
      <c r="K48" s="65">
        <f>IF(I48&lt;&gt;"",F48,"")</f>
      </c>
      <c r="L48" s="66">
        <f>IF(I48&lt;&gt;"",I48,"")</f>
      </c>
      <c r="M48" s="67">
        <f>IF(I48&lt;&gt;"",J48,"")</f>
      </c>
      <c r="S48" s="394"/>
      <c r="T48" s="387"/>
    </row>
    <row r="49" spans="1:20" ht="15">
      <c r="A49" s="38"/>
      <c r="B49" s="39"/>
      <c r="C49" s="39"/>
      <c r="D49" s="39"/>
      <c r="E49" s="39"/>
      <c r="F49" s="39"/>
      <c r="G49" s="39"/>
      <c r="H49" s="39"/>
      <c r="I49" s="68"/>
      <c r="J49" s="29"/>
      <c r="L49" s="69"/>
      <c r="S49" s="394"/>
      <c r="T49" s="387"/>
    </row>
    <row r="50" spans="1:57" ht="15">
      <c r="A50" s="70" t="s">
        <v>19</v>
      </c>
      <c r="B50" s="695" t="s">
        <v>5</v>
      </c>
      <c r="C50" s="695"/>
      <c r="D50" s="695"/>
      <c r="E50" s="695"/>
      <c r="F50" s="39"/>
      <c r="G50" s="39"/>
      <c r="H50" s="39"/>
      <c r="I50" s="68"/>
      <c r="J50" s="29"/>
      <c r="K50" s="71" t="s">
        <v>5</v>
      </c>
      <c r="L50" s="71" t="s">
        <v>20</v>
      </c>
      <c r="M50" s="71" t="s">
        <v>21</v>
      </c>
      <c r="N50" s="71" t="s">
        <v>22</v>
      </c>
      <c r="O50" s="71" t="s">
        <v>23</v>
      </c>
      <c r="P50" s="71"/>
      <c r="Q50" s="71"/>
      <c r="R50" s="71"/>
      <c r="S50" s="394"/>
      <c r="T50" s="387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</row>
    <row r="51" spans="1:57" ht="3" customHeight="1">
      <c r="A51" s="28"/>
      <c r="B51" s="39"/>
      <c r="C51" s="39"/>
      <c r="D51" s="39"/>
      <c r="E51" s="39"/>
      <c r="F51" s="39"/>
      <c r="G51" s="39"/>
      <c r="H51" s="68"/>
      <c r="I51" s="68"/>
      <c r="J51" s="29"/>
      <c r="K51" s="73"/>
      <c r="L51" s="73"/>
      <c r="M51" s="73"/>
      <c r="N51" s="73"/>
      <c r="O51" s="73"/>
      <c r="P51" s="73"/>
      <c r="Q51" s="73"/>
      <c r="R51" s="73"/>
      <c r="S51" s="394"/>
      <c r="T51" s="387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</row>
    <row r="52" spans="1:57" ht="3" customHeight="1">
      <c r="A52" s="28"/>
      <c r="B52" s="39"/>
      <c r="C52" s="39"/>
      <c r="D52" s="39"/>
      <c r="E52" s="39"/>
      <c r="F52" s="39"/>
      <c r="G52" s="74"/>
      <c r="H52" s="74"/>
      <c r="I52" s="74"/>
      <c r="J52" s="29"/>
      <c r="K52" s="73"/>
      <c r="L52" s="73"/>
      <c r="M52" s="73"/>
      <c r="N52" s="73"/>
      <c r="O52" s="73"/>
      <c r="P52" s="73"/>
      <c r="Q52" s="73"/>
      <c r="R52" s="73"/>
      <c r="S52" s="394"/>
      <c r="T52" s="387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</row>
    <row r="53" spans="1:57" ht="12.75" customHeight="1">
      <c r="A53" s="715" t="str">
        <f>B50</f>
        <v> </v>
      </c>
      <c r="B53" s="659"/>
      <c r="C53" s="659"/>
      <c r="D53" s="659"/>
      <c r="E53" s="659"/>
      <c r="F53" s="659"/>
      <c r="G53" s="659"/>
      <c r="H53" s="659"/>
      <c r="I53" s="659"/>
      <c r="J53" s="660"/>
      <c r="K53" s="75">
        <f>LEN(B53)</f>
        <v>0</v>
      </c>
      <c r="L53" s="76">
        <f>TRIM(вуз_1&amp;IF(год_вуз_1=""," ",", "&amp;год_вуз_1&amp;"г."))&amp;IF(L57="","",";  ")</f>
      </c>
      <c r="M53" s="73"/>
      <c r="N53" s="73"/>
      <c r="O53" s="73"/>
      <c r="P53" s="73"/>
      <c r="Q53" s="73"/>
      <c r="R53" s="73"/>
      <c r="S53" s="394"/>
      <c r="T53" s="387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</row>
    <row r="54" spans="1:57" ht="18" customHeight="1">
      <c r="A54" s="716"/>
      <c r="B54" s="659"/>
      <c r="C54" s="659"/>
      <c r="D54" s="659"/>
      <c r="E54" s="659"/>
      <c r="F54" s="659"/>
      <c r="G54" s="659"/>
      <c r="H54" s="659"/>
      <c r="I54" s="659"/>
      <c r="J54" s="660"/>
      <c r="K54" s="5"/>
      <c r="L54" s="73"/>
      <c r="M54" s="73"/>
      <c r="N54" s="73"/>
      <c r="O54" s="73"/>
      <c r="P54" s="73"/>
      <c r="Q54" s="73"/>
      <c r="R54" s="73"/>
      <c r="S54" s="394"/>
      <c r="T54" s="387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</row>
    <row r="55" spans="1:57" ht="15">
      <c r="A55" s="28"/>
      <c r="B55" s="661" t="s">
        <v>24</v>
      </c>
      <c r="C55" s="661"/>
      <c r="D55" s="661"/>
      <c r="E55" s="77"/>
      <c r="F55" s="13"/>
      <c r="G55" s="13"/>
      <c r="H55" s="13"/>
      <c r="I55" s="13"/>
      <c r="J55" s="29"/>
      <c r="K55" s="78">
        <f>IF(B55="год окончания",год+2000,6)</f>
        <v>2021</v>
      </c>
      <c r="L55" s="73"/>
      <c r="M55" s="73"/>
      <c r="N55" s="73"/>
      <c r="O55" s="73"/>
      <c r="P55" s="73"/>
      <c r="Q55" s="73"/>
      <c r="R55" s="73"/>
      <c r="S55" s="394"/>
      <c r="T55" s="387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</row>
    <row r="56" spans="1:57" ht="3" customHeight="1">
      <c r="A56" s="28"/>
      <c r="B56" s="13"/>
      <c r="C56" s="13"/>
      <c r="D56" s="13"/>
      <c r="E56" s="13"/>
      <c r="F56" s="13"/>
      <c r="G56" s="13"/>
      <c r="H56" s="13"/>
      <c r="I56" s="13"/>
      <c r="J56" s="29"/>
      <c r="K56" s="5"/>
      <c r="L56" s="73"/>
      <c r="M56" s="73"/>
      <c r="N56" s="73"/>
      <c r="O56" s="73"/>
      <c r="P56" s="73"/>
      <c r="Q56" s="73"/>
      <c r="R56" s="73"/>
      <c r="S56" s="394"/>
      <c r="T56" s="387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</row>
    <row r="57" spans="1:57" ht="12.75" customHeight="1">
      <c r="A57" s="662"/>
      <c r="B57" s="659"/>
      <c r="C57" s="659"/>
      <c r="D57" s="659"/>
      <c r="E57" s="659"/>
      <c r="F57" s="659"/>
      <c r="G57" s="659"/>
      <c r="H57" s="659"/>
      <c r="I57" s="659"/>
      <c r="J57" s="660"/>
      <c r="K57" s="75">
        <f>LEN(B57)</f>
        <v>0</v>
      </c>
      <c r="L57" s="76">
        <f>TRIM(вуз_2&amp;IF(год_вуз_2="","",", "&amp;год_вуз_2&amp;"г."))&amp;IF(L61="","",";  ")</f>
      </c>
      <c r="N57" s="30"/>
      <c r="O57" s="30"/>
      <c r="P57" s="79"/>
      <c r="Q57" s="79"/>
      <c r="R57" s="79"/>
      <c r="S57" s="394"/>
      <c r="T57" s="387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</row>
    <row r="58" spans="1:57" ht="18" customHeight="1">
      <c r="A58" s="663"/>
      <c r="B58" s="659"/>
      <c r="C58" s="659"/>
      <c r="D58" s="659"/>
      <c r="E58" s="659"/>
      <c r="F58" s="659"/>
      <c r="G58" s="659"/>
      <c r="H58" s="659"/>
      <c r="I58" s="659"/>
      <c r="J58" s="660"/>
      <c r="K58" s="79"/>
      <c r="L58" s="79"/>
      <c r="M58" s="79"/>
      <c r="N58" s="79"/>
      <c r="O58" s="79"/>
      <c r="P58" s="79"/>
      <c r="Q58" s="79"/>
      <c r="R58" s="79"/>
      <c r="S58" s="394"/>
      <c r="T58" s="387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</row>
    <row r="59" spans="1:57" ht="15">
      <c r="A59" s="28"/>
      <c r="B59" s="661" t="s">
        <v>24</v>
      </c>
      <c r="C59" s="661"/>
      <c r="D59" s="661"/>
      <c r="E59" s="77"/>
      <c r="F59" s="13"/>
      <c r="G59" s="13"/>
      <c r="H59" s="13"/>
      <c r="I59" s="13"/>
      <c r="J59" s="29"/>
      <c r="K59" s="78">
        <f>IF(B59="год окончания",год+2000,6)</f>
        <v>2021</v>
      </c>
      <c r="L59" s="73"/>
      <c r="M59" s="73"/>
      <c r="N59" s="73"/>
      <c r="O59" s="73"/>
      <c r="P59" s="73"/>
      <c r="Q59" s="73"/>
      <c r="R59" s="73"/>
      <c r="S59" s="394"/>
      <c r="T59" s="387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2.25" customHeight="1">
      <c r="A60" s="28"/>
      <c r="B60" s="13"/>
      <c r="C60" s="13"/>
      <c r="D60" s="13"/>
      <c r="E60" s="13"/>
      <c r="F60" s="13"/>
      <c r="G60" s="13"/>
      <c r="H60" s="13"/>
      <c r="I60" s="13"/>
      <c r="J60" s="29"/>
      <c r="K60" s="5"/>
      <c r="L60" s="73"/>
      <c r="M60" s="73"/>
      <c r="N60" s="73"/>
      <c r="O60" s="73"/>
      <c r="P60" s="73"/>
      <c r="Q60" s="73"/>
      <c r="R60" s="73"/>
      <c r="S60" s="394"/>
      <c r="T60" s="387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</row>
    <row r="61" spans="1:57" ht="12.75" customHeight="1">
      <c r="A61" s="662"/>
      <c r="B61" s="659"/>
      <c r="C61" s="659"/>
      <c r="D61" s="659"/>
      <c r="E61" s="659"/>
      <c r="F61" s="659"/>
      <c r="G61" s="659"/>
      <c r="H61" s="659"/>
      <c r="I61" s="659"/>
      <c r="J61" s="660"/>
      <c r="K61" s="75">
        <f>LEN(B61)</f>
        <v>0</v>
      </c>
      <c r="L61" s="76">
        <f>TRIM(вуз_3&amp;IF(год_вуз_3="","",", "&amp;год_вуз_3&amp;"г."))</f>
      </c>
      <c r="M61" s="73"/>
      <c r="N61" s="73"/>
      <c r="O61" s="73"/>
      <c r="P61" s="73"/>
      <c r="Q61" s="73"/>
      <c r="R61" s="73"/>
      <c r="S61" s="394"/>
      <c r="T61" s="387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</row>
    <row r="62" spans="1:57" ht="18" customHeight="1">
      <c r="A62" s="663"/>
      <c r="B62" s="659"/>
      <c r="C62" s="659"/>
      <c r="D62" s="659"/>
      <c r="E62" s="659"/>
      <c r="F62" s="659"/>
      <c r="G62" s="659"/>
      <c r="H62" s="659"/>
      <c r="I62" s="659"/>
      <c r="J62" s="660"/>
      <c r="K62" s="5"/>
      <c r="L62" s="73"/>
      <c r="M62" s="73"/>
      <c r="N62" s="73"/>
      <c r="O62" s="73"/>
      <c r="P62" s="73"/>
      <c r="Q62" s="73"/>
      <c r="R62" s="73"/>
      <c r="S62" s="394"/>
      <c r="T62" s="387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</row>
    <row r="63" spans="1:57" ht="15">
      <c r="A63" s="28"/>
      <c r="B63" s="661" t="s">
        <v>24</v>
      </c>
      <c r="C63" s="661"/>
      <c r="D63" s="661"/>
      <c r="E63" s="77"/>
      <c r="F63" s="13"/>
      <c r="G63" s="13"/>
      <c r="H63" s="13"/>
      <c r="I63" s="13"/>
      <c r="J63" s="29"/>
      <c r="K63" s="78">
        <f>IF(B63="год окончания",год+2000,6)</f>
        <v>2021</v>
      </c>
      <c r="L63" s="80"/>
      <c r="M63" s="73"/>
      <c r="N63" s="73"/>
      <c r="O63" s="73"/>
      <c r="P63" s="73"/>
      <c r="Q63" s="73"/>
      <c r="R63" s="73"/>
      <c r="S63" s="394"/>
      <c r="T63" s="387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</row>
    <row r="64" spans="1:57" ht="2.25" customHeight="1">
      <c r="A64" s="28"/>
      <c r="B64" s="13"/>
      <c r="C64" s="13"/>
      <c r="D64" s="13"/>
      <c r="E64" s="13"/>
      <c r="F64" s="13"/>
      <c r="G64" s="13"/>
      <c r="H64" s="13"/>
      <c r="I64" s="13"/>
      <c r="J64" s="29"/>
      <c r="K64" s="5"/>
      <c r="L64" s="73"/>
      <c r="M64" s="73"/>
      <c r="N64" s="73"/>
      <c r="O64" s="73"/>
      <c r="P64" s="73"/>
      <c r="Q64" s="73"/>
      <c r="R64" s="73"/>
      <c r="S64" s="394"/>
      <c r="T64" s="387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</row>
    <row r="65" spans="1:20" ht="3" customHeight="1">
      <c r="A65" s="28"/>
      <c r="B65" s="13"/>
      <c r="C65" s="13"/>
      <c r="D65" s="13"/>
      <c r="E65" s="13"/>
      <c r="F65" s="13"/>
      <c r="G65" s="13"/>
      <c r="H65" s="13"/>
      <c r="I65" s="13"/>
      <c r="J65" s="29"/>
      <c r="K65" s="26"/>
      <c r="S65" s="394"/>
      <c r="T65" s="387"/>
    </row>
    <row r="66" spans="1:20" ht="33" customHeight="1">
      <c r="A66" s="713" t="s">
        <v>407</v>
      </c>
      <c r="B66" s="714"/>
      <c r="C66" s="714"/>
      <c r="D66" s="714"/>
      <c r="E66" s="714"/>
      <c r="F66" s="714"/>
      <c r="G66" s="714"/>
      <c r="H66" s="714"/>
      <c r="I66" s="714"/>
      <c r="J66" s="34"/>
      <c r="K66" s="35"/>
      <c r="L66" s="336"/>
      <c r="M66" s="81"/>
      <c r="N66" s="81"/>
      <c r="O66" s="81"/>
      <c r="P66" s="81"/>
      <c r="Q66" s="81"/>
      <c r="R66" s="81"/>
      <c r="S66" s="394"/>
      <c r="T66" s="387"/>
    </row>
    <row r="67" spans="1:20" ht="2.25" customHeight="1">
      <c r="A67" s="82"/>
      <c r="B67" s="35"/>
      <c r="C67" s="35"/>
      <c r="D67" s="35"/>
      <c r="E67" s="35"/>
      <c r="F67" s="35"/>
      <c r="G67" s="35"/>
      <c r="H67" s="35"/>
      <c r="I67" s="35"/>
      <c r="J67" s="83"/>
      <c r="K67" s="35"/>
      <c r="L67" s="35"/>
      <c r="M67" s="2"/>
      <c r="N67" s="3"/>
      <c r="O67" s="81"/>
      <c r="P67" s="81"/>
      <c r="Q67" s="81"/>
      <c r="R67" s="81"/>
      <c r="S67" s="394"/>
      <c r="T67" s="387"/>
    </row>
    <row r="68" spans="1:57" ht="16.5" customHeight="1">
      <c r="A68" s="424" t="s">
        <v>561</v>
      </c>
      <c r="B68" s="13"/>
      <c r="C68" s="13"/>
      <c r="D68" s="84"/>
      <c r="E68" s="85"/>
      <c r="F68" s="86"/>
      <c r="G68" s="86"/>
      <c r="H68" s="86"/>
      <c r="I68" s="13"/>
      <c r="J68" s="29"/>
      <c r="L68" s="5"/>
      <c r="M68" s="79"/>
      <c r="N68" s="79"/>
      <c r="O68" s="79"/>
      <c r="P68" s="79"/>
      <c r="Q68" s="79"/>
      <c r="R68" s="79"/>
      <c r="S68" s="394"/>
      <c r="T68" s="387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</row>
    <row r="69" spans="1:57" ht="2.25" customHeight="1">
      <c r="A69" s="424"/>
      <c r="B69" s="13"/>
      <c r="C69" s="13"/>
      <c r="D69" s="84"/>
      <c r="E69" s="85"/>
      <c r="F69" s="86"/>
      <c r="G69" s="86"/>
      <c r="H69" s="86"/>
      <c r="I69" s="13"/>
      <c r="J69" s="29"/>
      <c r="L69" s="5"/>
      <c r="M69" s="79"/>
      <c r="N69" s="79"/>
      <c r="O69" s="79"/>
      <c r="P69" s="79"/>
      <c r="Q69" s="79"/>
      <c r="R69" s="79"/>
      <c r="S69" s="394"/>
      <c r="T69" s="387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</row>
    <row r="70" spans="1:57" ht="18.75" customHeight="1">
      <c r="A70" s="704" t="s">
        <v>25</v>
      </c>
      <c r="B70" s="705"/>
      <c r="C70" s="705"/>
      <c r="D70" s="87"/>
      <c r="E70" s="366" t="s">
        <v>24</v>
      </c>
      <c r="F70" s="13"/>
      <c r="G70" s="88"/>
      <c r="H70" s="51">
        <f>IF(A70="нет","",IF(L70=1,"курс","г."))</f>
      </c>
      <c r="I70" s="13"/>
      <c r="J70" s="501"/>
      <c r="K70" s="78">
        <f>IF(E70&lt;&gt;"год окончания",6,год+2000)</f>
        <v>2021</v>
      </c>
      <c r="L70" s="89">
        <f>IF(E70&lt;&gt;"год окончания",1,K70-6)</f>
        <v>2015</v>
      </c>
      <c r="M70" s="2">
        <f>IF(A70=N74,""," ("&amp;A70&amp;")")</f>
      </c>
      <c r="N70" s="5"/>
      <c r="S70" s="394"/>
      <c r="T70" s="387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</row>
    <row r="71" spans="1:57" ht="3.75" customHeight="1">
      <c r="A71" s="90"/>
      <c r="B71" s="87"/>
      <c r="C71" s="87"/>
      <c r="D71" s="87"/>
      <c r="E71" s="87"/>
      <c r="F71" s="87"/>
      <c r="G71" s="87"/>
      <c r="H71" s="87"/>
      <c r="I71" s="13"/>
      <c r="J71" s="501"/>
      <c r="K71" s="5"/>
      <c r="N71" s="5"/>
      <c r="S71" s="394"/>
      <c r="T71" s="387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</row>
    <row r="72" spans="1:57" ht="16.5" customHeight="1">
      <c r="A72" s="28"/>
      <c r="B72" s="659"/>
      <c r="C72" s="659"/>
      <c r="D72" s="659"/>
      <c r="E72" s="659"/>
      <c r="F72" s="659"/>
      <c r="G72" s="659"/>
      <c r="H72" s="659"/>
      <c r="I72" s="659"/>
      <c r="J72" s="660"/>
      <c r="K72" s="69">
        <f>LEN(L72)</f>
        <v>0</v>
      </c>
      <c r="L72" s="91">
        <f>IF(A70="нет","",TRIM(доп_по&amp;M72))</f>
      </c>
      <c r="M72" s="91">
        <f>IF(AND(E70="год окончания",год_доп_по&gt;=L70),", "&amp;год_доп_по&amp;H70,"")</f>
      </c>
      <c r="N72" s="79"/>
      <c r="O72" s="79"/>
      <c r="P72" s="79"/>
      <c r="Q72" s="79"/>
      <c r="R72" s="79"/>
      <c r="S72" s="394"/>
      <c r="T72" s="387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</row>
    <row r="73" spans="1:57" ht="16.5" customHeight="1">
      <c r="A73" s="28"/>
      <c r="B73" s="659"/>
      <c r="C73" s="659"/>
      <c r="D73" s="659"/>
      <c r="E73" s="659"/>
      <c r="F73" s="659"/>
      <c r="G73" s="659"/>
      <c r="H73" s="659"/>
      <c r="I73" s="659"/>
      <c r="J73" s="660"/>
      <c r="K73" s="92" t="s">
        <v>26</v>
      </c>
      <c r="L73" s="93" t="s">
        <v>27</v>
      </c>
      <c r="N73" s="94" t="s">
        <v>28</v>
      </c>
      <c r="O73" s="81"/>
      <c r="P73" s="81"/>
      <c r="R73" s="81"/>
      <c r="S73" s="394"/>
      <c r="T73" s="387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</row>
    <row r="74" spans="1:57" ht="12.75" customHeight="1">
      <c r="A74" s="28"/>
      <c r="B74" s="659"/>
      <c r="C74" s="659"/>
      <c r="D74" s="659"/>
      <c r="E74" s="659"/>
      <c r="F74" s="659"/>
      <c r="G74" s="659"/>
      <c r="H74" s="659"/>
      <c r="I74" s="659"/>
      <c r="J74" s="660"/>
      <c r="K74" s="95"/>
      <c r="L74" s="64" t="s">
        <v>29</v>
      </c>
      <c r="N74" s="93" t="s">
        <v>25</v>
      </c>
      <c r="O74" s="81"/>
      <c r="P74" s="81"/>
      <c r="R74" s="81"/>
      <c r="S74" s="394"/>
      <c r="T74" s="387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</row>
    <row r="75" spans="1:57" ht="6.75" customHeight="1">
      <c r="A75" s="96"/>
      <c r="B75" s="13"/>
      <c r="C75" s="13"/>
      <c r="D75" s="13"/>
      <c r="E75" s="13"/>
      <c r="F75" s="13"/>
      <c r="G75" s="97"/>
      <c r="H75" s="97"/>
      <c r="I75" s="97"/>
      <c r="J75" s="98"/>
      <c r="K75" s="99"/>
      <c r="L75" s="318" t="s">
        <v>30</v>
      </c>
      <c r="M75" s="37"/>
      <c r="N75" s="93" t="s">
        <v>32</v>
      </c>
      <c r="O75" s="81"/>
      <c r="P75" s="81"/>
      <c r="R75" s="81"/>
      <c r="S75" s="394"/>
      <c r="T75" s="387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</row>
    <row r="76" spans="1:20" ht="5.25" customHeight="1">
      <c r="A76" s="100"/>
      <c r="B76" s="101"/>
      <c r="C76" s="101"/>
      <c r="D76" s="101"/>
      <c r="E76" s="101"/>
      <c r="F76" s="101"/>
      <c r="G76" s="102"/>
      <c r="H76" s="13"/>
      <c r="I76" s="103"/>
      <c r="J76" s="104"/>
      <c r="K76" s="95"/>
      <c r="L76" s="64" t="s">
        <v>31</v>
      </c>
      <c r="M76" s="37"/>
      <c r="N76" s="93" t="s">
        <v>23</v>
      </c>
      <c r="O76" s="81"/>
      <c r="P76" s="81"/>
      <c r="R76" s="81"/>
      <c r="S76" s="394"/>
      <c r="T76" s="387"/>
    </row>
    <row r="77" spans="1:20" ht="15">
      <c r="A77" s="666" t="s">
        <v>27</v>
      </c>
      <c r="B77" s="667"/>
      <c r="C77" s="667"/>
      <c r="D77" s="667"/>
      <c r="E77" s="667"/>
      <c r="F77" s="13"/>
      <c r="G77" s="105"/>
      <c r="H77" s="106" t="str">
        <f>IF(G77&gt;=16,"да","нет")</f>
        <v>нет</v>
      </c>
      <c r="I77" s="107" t="s">
        <v>33</v>
      </c>
      <c r="J77" s="29"/>
      <c r="L77" s="64" t="s">
        <v>34</v>
      </c>
      <c r="M77" s="37"/>
      <c r="O77" s="81"/>
      <c r="P77" s="81"/>
      <c r="R77" s="81"/>
      <c r="S77" s="394"/>
      <c r="T77" s="387"/>
    </row>
    <row r="78" spans="1:20" ht="6.75" customHeight="1">
      <c r="A78" s="108"/>
      <c r="B78" s="13"/>
      <c r="C78" s="13"/>
      <c r="D78" s="39"/>
      <c r="E78" s="39"/>
      <c r="F78" s="39"/>
      <c r="G78" s="13"/>
      <c r="H78" s="39"/>
      <c r="I78" s="39"/>
      <c r="J78" s="502"/>
      <c r="S78" s="394"/>
      <c r="T78" s="387"/>
    </row>
    <row r="79" spans="1:20" ht="15">
      <c r="A79" s="38" t="s">
        <v>35</v>
      </c>
      <c r="B79" s="39"/>
      <c r="C79" s="39"/>
      <c r="D79" s="39"/>
      <c r="E79" s="39"/>
      <c r="F79" s="13"/>
      <c r="G79" s="623" t="s">
        <v>25</v>
      </c>
      <c r="H79" s="623"/>
      <c r="I79" s="39"/>
      <c r="J79" s="502"/>
      <c r="S79" s="394"/>
      <c r="T79" s="387"/>
    </row>
    <row r="80" spans="1:20" ht="15" customHeight="1">
      <c r="A80" s="627" t="s">
        <v>36</v>
      </c>
      <c r="B80" s="628"/>
      <c r="C80" s="628"/>
      <c r="D80" s="628"/>
      <c r="E80" s="628"/>
      <c r="F80" s="628"/>
      <c r="G80" s="623" t="s">
        <v>25</v>
      </c>
      <c r="H80" s="623"/>
      <c r="I80" s="39"/>
      <c r="J80" s="502"/>
      <c r="S80" s="394"/>
      <c r="T80" s="387"/>
    </row>
    <row r="81" spans="1:20" ht="5.25" customHeight="1">
      <c r="A81" s="38"/>
      <c r="B81" s="39"/>
      <c r="C81" s="39"/>
      <c r="D81" s="39"/>
      <c r="E81" s="39"/>
      <c r="F81" s="13"/>
      <c r="G81" s="39"/>
      <c r="H81" s="39"/>
      <c r="I81" s="39"/>
      <c r="J81" s="502"/>
      <c r="S81" s="394"/>
      <c r="T81" s="387"/>
    </row>
    <row r="82" spans="1:20" ht="13.5">
      <c r="A82" s="38" t="s">
        <v>37</v>
      </c>
      <c r="B82" s="39"/>
      <c r="C82" s="39"/>
      <c r="D82" s="39"/>
      <c r="E82" s="39"/>
      <c r="F82" s="13"/>
      <c r="G82" s="623" t="s">
        <v>25</v>
      </c>
      <c r="H82" s="623"/>
      <c r="I82" s="109"/>
      <c r="J82" s="110"/>
      <c r="M82" s="37"/>
      <c r="N82" s="3"/>
      <c r="O82" s="81"/>
      <c r="P82" s="81"/>
      <c r="Q82" s="81"/>
      <c r="R82" s="81"/>
      <c r="S82" s="394"/>
      <c r="T82" s="387"/>
    </row>
    <row r="83" spans="1:20" ht="13.5">
      <c r="A83" s="38" t="s">
        <v>38</v>
      </c>
      <c r="B83" s="39"/>
      <c r="C83" s="39"/>
      <c r="D83" s="39"/>
      <c r="E83" s="39"/>
      <c r="F83" s="13"/>
      <c r="G83" s="623" t="s">
        <v>25</v>
      </c>
      <c r="H83" s="623"/>
      <c r="I83" s="109" t="s">
        <v>39</v>
      </c>
      <c r="J83" s="111"/>
      <c r="M83" s="37"/>
      <c r="N83" s="112">
        <v>0</v>
      </c>
      <c r="O83" s="81"/>
      <c r="P83" s="81"/>
      <c r="Q83" s="81"/>
      <c r="R83" s="81"/>
      <c r="S83" s="394"/>
      <c r="T83" s="387"/>
    </row>
    <row r="84" spans="1:20" ht="13.5" hidden="1">
      <c r="A84" s="425"/>
      <c r="B84" s="503" t="s">
        <v>483</v>
      </c>
      <c r="C84" s="13"/>
      <c r="D84" s="504" t="s">
        <v>484</v>
      </c>
      <c r="E84" s="39"/>
      <c r="F84" s="39"/>
      <c r="G84" s="430" t="str">
        <f>ЭЗ!Y62</f>
        <v>нет</v>
      </c>
      <c r="H84" s="39"/>
      <c r="I84" s="505" t="s">
        <v>490</v>
      </c>
      <c r="J84" s="432"/>
      <c r="M84" s="37"/>
      <c r="N84" s="112"/>
      <c r="O84" s="81"/>
      <c r="P84" s="81"/>
      <c r="Q84" s="81"/>
      <c r="R84" s="81"/>
      <c r="S84" s="394"/>
      <c r="T84" s="387"/>
    </row>
    <row r="85" spans="1:20" ht="13.5" hidden="1">
      <c r="A85" s="425"/>
      <c r="B85" s="13"/>
      <c r="C85" s="13"/>
      <c r="D85" s="506" t="s">
        <v>485</v>
      </c>
      <c r="E85" s="62"/>
      <c r="F85" s="61"/>
      <c r="G85" s="430" t="str">
        <f>IF(AND(A70&lt;&gt;"нет",K72&lt;&gt;0),"да","нет")</f>
        <v>нет</v>
      </c>
      <c r="H85" s="13"/>
      <c r="I85" s="507" t="s">
        <v>491</v>
      </c>
      <c r="J85" s="432"/>
      <c r="M85" s="37"/>
      <c r="N85" s="112"/>
      <c r="O85" s="81"/>
      <c r="P85" s="81"/>
      <c r="Q85" s="81"/>
      <c r="R85" s="81"/>
      <c r="S85" s="394"/>
      <c r="T85" s="387"/>
    </row>
    <row r="86" spans="1:20" ht="26.25" hidden="1">
      <c r="A86" s="508"/>
      <c r="B86" s="13"/>
      <c r="C86" s="13"/>
      <c r="D86" s="509" t="s">
        <v>486</v>
      </c>
      <c r="E86" s="510"/>
      <c r="F86" s="84"/>
      <c r="G86" s="431" t="str">
        <f>IF(ЭЗ!Y387&gt;0,"да","нет")</f>
        <v>нет</v>
      </c>
      <c r="H86" s="396"/>
      <c r="I86" s="511" t="s">
        <v>463</v>
      </c>
      <c r="J86" s="433"/>
      <c r="K86" s="434" t="s">
        <v>492</v>
      </c>
      <c r="L86" s="435" t="s">
        <v>493</v>
      </c>
      <c r="M86" s="37"/>
      <c r="N86" s="12"/>
      <c r="O86" s="13"/>
      <c r="S86" s="394"/>
      <c r="T86" s="387"/>
    </row>
    <row r="87" spans="1:20" ht="17.25" hidden="1">
      <c r="A87" s="624" t="str">
        <f>IF(вывод1="да",_72ч,"")</f>
        <v>В течение одного года пройти обучение по программе повышения квалификации.  
</v>
      </c>
      <c r="B87" s="625"/>
      <c r="C87" s="625"/>
      <c r="D87" s="625"/>
      <c r="E87" s="625"/>
      <c r="F87" s="625"/>
      <c r="G87" s="625"/>
      <c r="H87" s="625"/>
      <c r="I87" s="625"/>
      <c r="J87" s="626"/>
      <c r="K87" s="500" t="str">
        <f>IF(COUNTIF(G77:H86,"да"),"нет","да")</f>
        <v>да</v>
      </c>
      <c r="L87" s="436" t="s">
        <v>494</v>
      </c>
      <c r="M87" s="37"/>
      <c r="N87" s="12"/>
      <c r="O87" s="13"/>
      <c r="S87" s="394"/>
      <c r="T87" s="387"/>
    </row>
    <row r="88" spans="1:20" ht="12.75" hidden="1">
      <c r="A88" s="624"/>
      <c r="B88" s="625"/>
      <c r="C88" s="625"/>
      <c r="D88" s="625"/>
      <c r="E88" s="625"/>
      <c r="F88" s="625"/>
      <c r="G88" s="625"/>
      <c r="H88" s="625"/>
      <c r="I88" s="625"/>
      <c r="J88" s="626"/>
      <c r="K88" s="115"/>
      <c r="M88" s="37"/>
      <c r="N88" s="12"/>
      <c r="O88" s="13"/>
      <c r="S88" s="394"/>
      <c r="T88" s="387"/>
    </row>
    <row r="89" spans="1:20" ht="6" customHeight="1">
      <c r="A89" s="512"/>
      <c r="B89" s="512"/>
      <c r="C89" s="512"/>
      <c r="D89" s="707"/>
      <c r="E89" s="707"/>
      <c r="F89" s="707"/>
      <c r="G89" s="707"/>
      <c r="H89" s="707"/>
      <c r="I89" s="707"/>
      <c r="J89" s="708"/>
      <c r="L89" s="5"/>
      <c r="M89" s="5"/>
      <c r="N89" s="116"/>
      <c r="O89" s="26"/>
      <c r="P89" s="69"/>
      <c r="Q89" s="69"/>
      <c r="R89" s="81"/>
      <c r="S89" s="394"/>
      <c r="T89" s="387"/>
    </row>
    <row r="90" spans="1:20" ht="20.25" customHeight="1">
      <c r="A90" s="664" t="s">
        <v>41</v>
      </c>
      <c r="B90" s="665"/>
      <c r="C90" s="665"/>
      <c r="D90" s="665"/>
      <c r="E90" s="665"/>
      <c r="F90" s="665"/>
      <c r="G90" s="665"/>
      <c r="H90" s="665"/>
      <c r="I90" s="665"/>
      <c r="J90" s="117"/>
      <c r="K90" s="118" t="s">
        <v>42</v>
      </c>
      <c r="M90" s="37"/>
      <c r="N90" s="116"/>
      <c r="O90" s="26"/>
      <c r="P90" s="69"/>
      <c r="Q90" s="69"/>
      <c r="R90" s="69"/>
      <c r="S90" s="394"/>
      <c r="T90" s="387"/>
    </row>
    <row r="91" spans="1:20" s="69" customFormat="1" ht="4.5" customHeight="1">
      <c r="A91" s="390"/>
      <c r="B91" s="391"/>
      <c r="C91" s="391"/>
      <c r="D91" s="391"/>
      <c r="E91" s="391"/>
      <c r="F91" s="391"/>
      <c r="G91" s="391"/>
      <c r="H91" s="391"/>
      <c r="I91" s="391"/>
      <c r="J91" s="392"/>
      <c r="K91" s="393"/>
      <c r="L91" s="126"/>
      <c r="M91" s="231"/>
      <c r="N91" s="116"/>
      <c r="O91" s="26"/>
      <c r="S91" s="394"/>
      <c r="T91" s="387"/>
    </row>
    <row r="92" spans="1:20" ht="15" customHeight="1">
      <c r="A92" s="627" t="str">
        <f>VLOOKUP($B$38,$K$172:$Q$188,2)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2" s="628"/>
      <c r="C92" s="628"/>
      <c r="D92" s="628"/>
      <c r="E92" s="628"/>
      <c r="F92" s="628"/>
      <c r="G92" s="628"/>
      <c r="H92" s="628"/>
      <c r="I92" s="13"/>
      <c r="J92" s="29"/>
      <c r="K92" s="119"/>
      <c r="N92" s="12"/>
      <c r="O92" s="13"/>
      <c r="S92" s="394"/>
      <c r="T92" s="387"/>
    </row>
    <row r="93" spans="1:20" ht="15">
      <c r="A93" s="627"/>
      <c r="B93" s="628"/>
      <c r="C93" s="628"/>
      <c r="D93" s="628"/>
      <c r="E93" s="628"/>
      <c r="F93" s="628"/>
      <c r="G93" s="628"/>
      <c r="H93" s="628"/>
      <c r="I93" s="32" t="s">
        <v>25</v>
      </c>
      <c r="J93" s="120" t="str">
        <f>IF(OR(G79="да",G80="да",G84="да"),"да",рек2)</f>
        <v>нет</v>
      </c>
      <c r="K93" s="114" t="s">
        <v>44</v>
      </c>
      <c r="M93" s="115"/>
      <c r="S93" s="394"/>
      <c r="T93" s="387"/>
    </row>
    <row r="94" spans="1:20" ht="21.75" customHeight="1">
      <c r="A94" s="627"/>
      <c r="B94" s="628"/>
      <c r="C94" s="628"/>
      <c r="D94" s="628"/>
      <c r="E94" s="628"/>
      <c r="F94" s="628"/>
      <c r="G94" s="628"/>
      <c r="H94" s="628"/>
      <c r="I94" s="121"/>
      <c r="J94" s="83"/>
      <c r="K94" s="115"/>
      <c r="S94" s="394"/>
      <c r="T94" s="387"/>
    </row>
    <row r="95" spans="1:20" ht="15" customHeight="1">
      <c r="A95" s="627" t="str">
        <f>VLOOKUP($B$38,$K$172:$Q$188,3)</f>
        <v>Профессиональное владение техникой исполнения на музыкальном инструменте </v>
      </c>
      <c r="B95" s="628"/>
      <c r="C95" s="628"/>
      <c r="D95" s="628"/>
      <c r="E95" s="628"/>
      <c r="F95" s="628"/>
      <c r="G95" s="628"/>
      <c r="H95" s="628"/>
      <c r="I95" s="13"/>
      <c r="J95" s="29"/>
      <c r="K95" s="115"/>
      <c r="L95" s="475" t="s">
        <v>521</v>
      </c>
      <c r="S95" s="394"/>
      <c r="T95" s="387"/>
    </row>
    <row r="96" spans="1:20" ht="13.5">
      <c r="A96" s="627"/>
      <c r="B96" s="628"/>
      <c r="C96" s="628"/>
      <c r="D96" s="628"/>
      <c r="E96" s="628"/>
      <c r="F96" s="628"/>
      <c r="G96" s="628"/>
      <c r="H96" s="628"/>
      <c r="I96" s="32" t="s">
        <v>25</v>
      </c>
      <c r="J96" s="110"/>
      <c r="K96" s="114" t="s">
        <v>46</v>
      </c>
      <c r="L96" s="476" t="s">
        <v>523</v>
      </c>
      <c r="M96" s="3" t="s">
        <v>522</v>
      </c>
      <c r="N96" s="123"/>
      <c r="S96" s="394"/>
      <c r="T96" s="387"/>
    </row>
    <row r="97" spans="1:20" ht="17.25" hidden="1">
      <c r="A97" s="439" t="s">
        <v>40</v>
      </c>
      <c r="B97" s="438" t="s">
        <v>495</v>
      </c>
      <c r="C97" s="328"/>
      <c r="D97" s="328"/>
      <c r="E97" s="13"/>
      <c r="F97" s="437" t="str">
        <f>HLOOKUP(G97,$L$96:$S$97,2)</f>
        <v>да</v>
      </c>
      <c r="G97" s="448" t="str">
        <f>L96</f>
        <v>_общ</v>
      </c>
      <c r="I97" s="13"/>
      <c r="J97" s="29"/>
      <c r="K97" s="26"/>
      <c r="L97" s="446" t="str">
        <f>IF(AND(J93="нет",рек3="нет"),"да","нет")</f>
        <v>да</v>
      </c>
      <c r="M97" s="446" t="str">
        <f>IF(AND(I93="да",рек3="да"),"нет","да")</f>
        <v>да</v>
      </c>
      <c r="N97" s="446"/>
      <c r="S97" s="394"/>
      <c r="T97" s="387"/>
    </row>
    <row r="98" spans="1:20" ht="30" hidden="1">
      <c r="A98" s="624" t="str">
        <f>IF(F97="да",_дпо,"")</f>
        <v>Получить  дополнительное профессиональное образование по направлению подготовки "Образование и педагогика". 
 </v>
      </c>
      <c r="B98" s="625"/>
      <c r="C98" s="625"/>
      <c r="D98" s="625"/>
      <c r="E98" s="625"/>
      <c r="F98" s="625"/>
      <c r="G98" s="625"/>
      <c r="H98" s="625"/>
      <c r="I98" s="625"/>
      <c r="J98" s="626"/>
      <c r="K98" s="114" t="s">
        <v>47</v>
      </c>
      <c r="L98" s="447" t="s">
        <v>509</v>
      </c>
      <c r="M98" s="447" t="s">
        <v>510</v>
      </c>
      <c r="N98" s="447"/>
      <c r="S98" s="394"/>
      <c r="T98" s="387"/>
    </row>
    <row r="99" spans="1:20" ht="12.75" hidden="1">
      <c r="A99" s="624" t="str">
        <f>IF(рек3="нет",_рек3,"")</f>
        <v>Совершенствовать  технику исполнения на музыкальном инструменте. </v>
      </c>
      <c r="B99" s="625"/>
      <c r="C99" s="625"/>
      <c r="D99" s="625"/>
      <c r="E99" s="625"/>
      <c r="F99" s="625"/>
      <c r="G99" s="625"/>
      <c r="H99" s="625"/>
      <c r="I99" s="625"/>
      <c r="J99" s="626"/>
      <c r="K99" s="114" t="s">
        <v>48</v>
      </c>
      <c r="M99" s="122"/>
      <c r="S99" s="394"/>
      <c r="T99" s="387"/>
    </row>
    <row r="100" spans="1:20" ht="5.25" customHeight="1">
      <c r="A100" s="28"/>
      <c r="B100" s="115"/>
      <c r="C100" s="13"/>
      <c r="D100" s="13"/>
      <c r="E100" s="13"/>
      <c r="F100" s="123"/>
      <c r="G100" s="13"/>
      <c r="H100" s="13"/>
      <c r="I100" s="13"/>
      <c r="J100" s="29"/>
      <c r="K100" s="26"/>
      <c r="L100" s="115"/>
      <c r="M100" s="124"/>
      <c r="N100" s="12"/>
      <c r="O100" s="13"/>
      <c r="P100" s="13"/>
      <c r="Q100" s="13"/>
      <c r="R100" s="13"/>
      <c r="S100" s="394"/>
      <c r="T100" s="387"/>
    </row>
    <row r="101" spans="1:20" s="69" customFormat="1" ht="16.5" customHeight="1">
      <c r="A101" s="701" t="s">
        <v>533</v>
      </c>
      <c r="B101" s="702"/>
      <c r="C101" s="702"/>
      <c r="D101" s="702"/>
      <c r="E101" s="702"/>
      <c r="F101" s="702"/>
      <c r="G101" s="702"/>
      <c r="H101" s="702"/>
      <c r="I101" s="702"/>
      <c r="J101" s="117"/>
      <c r="M101" s="113"/>
      <c r="O101" s="26"/>
      <c r="S101" s="394"/>
      <c r="T101" s="387"/>
    </row>
    <row r="102" spans="1:20" ht="4.5" customHeight="1">
      <c r="A102" s="315"/>
      <c r="B102" s="315"/>
      <c r="C102" s="315"/>
      <c r="D102" s="315"/>
      <c r="E102" s="315"/>
      <c r="F102" s="315"/>
      <c r="G102" s="315"/>
      <c r="H102" s="315"/>
      <c r="I102" s="315"/>
      <c r="J102" s="513"/>
      <c r="L102" s="5"/>
      <c r="M102" s="5"/>
      <c r="N102" s="116"/>
      <c r="O102" s="26"/>
      <c r="P102" s="69"/>
      <c r="Q102" s="69"/>
      <c r="R102" s="81"/>
      <c r="S102" s="394"/>
      <c r="T102" s="387"/>
    </row>
    <row r="103" spans="1:20" ht="19.5" customHeight="1">
      <c r="A103" s="386" t="s">
        <v>516</v>
      </c>
      <c r="B103" s="315"/>
      <c r="C103" s="315"/>
      <c r="D103" s="315"/>
      <c r="E103" s="315"/>
      <c r="F103" s="315"/>
      <c r="G103" s="703" t="s">
        <v>25</v>
      </c>
      <c r="H103" s="703"/>
      <c r="J103" s="513"/>
      <c r="K103" s="5"/>
      <c r="L103" s="5"/>
      <c r="M103" s="277"/>
      <c r="N103" s="116"/>
      <c r="O103" s="26"/>
      <c r="P103" s="69"/>
      <c r="Q103" s="69"/>
      <c r="S103" s="394"/>
      <c r="T103" s="387"/>
    </row>
    <row r="104" spans="1:20" ht="12.75">
      <c r="A104" s="315"/>
      <c r="B104" s="315"/>
      <c r="C104" s="315"/>
      <c r="D104" s="328"/>
      <c r="E104" s="315">
        <f>IF(D103="да",#REF!,"")</f>
      </c>
      <c r="F104" s="315"/>
      <c r="G104" s="328"/>
      <c r="H104" s="328"/>
      <c r="I104" s="315"/>
      <c r="J104" s="513"/>
      <c r="L104" s="69"/>
      <c r="M104" s="231"/>
      <c r="N104" s="116"/>
      <c r="O104" s="26"/>
      <c r="P104" s="69"/>
      <c r="Q104" s="69"/>
      <c r="R104" s="69"/>
      <c r="S104" s="394"/>
      <c r="T104" s="387"/>
    </row>
    <row r="105" spans="1:20" ht="21.75" customHeight="1">
      <c r="A105" s="629" t="s">
        <v>49</v>
      </c>
      <c r="B105" s="630"/>
      <c r="C105" s="630"/>
      <c r="D105" s="630"/>
      <c r="E105" s="630"/>
      <c r="F105" s="630"/>
      <c r="G105" s="630"/>
      <c r="H105" s="630"/>
      <c r="I105" s="630"/>
      <c r="J105" s="34"/>
      <c r="K105" s="35"/>
      <c r="L105" s="115"/>
      <c r="M105" s="11"/>
      <c r="N105" s="12"/>
      <c r="O105" s="13"/>
      <c r="P105" s="13"/>
      <c r="Q105" s="13"/>
      <c r="R105" s="13"/>
      <c r="S105" s="394"/>
      <c r="T105" s="387"/>
    </row>
    <row r="106" spans="1:256" ht="3.75" customHeight="1">
      <c r="A106" s="125"/>
      <c r="B106" s="35"/>
      <c r="C106" s="35"/>
      <c r="D106" s="35"/>
      <c r="E106" s="35"/>
      <c r="F106" s="35"/>
      <c r="G106" s="35"/>
      <c r="H106" s="35"/>
      <c r="I106" s="35"/>
      <c r="J106" s="83"/>
      <c r="K106" s="35"/>
      <c r="L106" s="126"/>
      <c r="M106" s="127"/>
      <c r="N106" s="128"/>
      <c r="O106" s="69"/>
      <c r="P106" s="69"/>
      <c r="Q106" s="69"/>
      <c r="R106" s="26"/>
      <c r="S106" s="394"/>
      <c r="T106" s="387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  <c r="GA106" s="69"/>
      <c r="GB106" s="69"/>
      <c r="GC106" s="69"/>
      <c r="GD106" s="69"/>
      <c r="GE106" s="69"/>
      <c r="GF106" s="69"/>
      <c r="GG106" s="69"/>
      <c r="GH106" s="69"/>
      <c r="GI106" s="69"/>
      <c r="GJ106" s="69"/>
      <c r="GK106" s="69"/>
      <c r="GL106" s="69"/>
      <c r="GM106" s="69"/>
      <c r="GN106" s="69"/>
      <c r="GO106" s="69"/>
      <c r="GP106" s="69"/>
      <c r="GQ106" s="69"/>
      <c r="GR106" s="69"/>
      <c r="GS106" s="69"/>
      <c r="GT106" s="69"/>
      <c r="GU106" s="69"/>
      <c r="GV106" s="69"/>
      <c r="GW106" s="69"/>
      <c r="GX106" s="69"/>
      <c r="GY106" s="69"/>
      <c r="GZ106" s="69"/>
      <c r="HA106" s="69"/>
      <c r="HB106" s="69"/>
      <c r="HC106" s="69"/>
      <c r="HD106" s="69"/>
      <c r="HE106" s="69"/>
      <c r="HF106" s="69"/>
      <c r="HG106" s="69"/>
      <c r="HH106" s="69"/>
      <c r="HI106" s="69"/>
      <c r="HJ106" s="69"/>
      <c r="HK106" s="69"/>
      <c r="HL106" s="69"/>
      <c r="HM106" s="69"/>
      <c r="HN106" s="69"/>
      <c r="HO106" s="69"/>
      <c r="HP106" s="69"/>
      <c r="HQ106" s="69"/>
      <c r="HR106" s="69"/>
      <c r="HS106" s="69"/>
      <c r="HT106" s="69"/>
      <c r="HU106" s="69"/>
      <c r="HV106" s="69"/>
      <c r="HW106" s="69"/>
      <c r="HX106" s="69"/>
      <c r="HY106" s="69"/>
      <c r="HZ106" s="69"/>
      <c r="IA106" s="69"/>
      <c r="IB106" s="69"/>
      <c r="IC106" s="69"/>
      <c r="ID106" s="69"/>
      <c r="IE106" s="69"/>
      <c r="IF106" s="69"/>
      <c r="IG106" s="69"/>
      <c r="IH106" s="69"/>
      <c r="II106" s="69"/>
      <c r="IJ106" s="69"/>
      <c r="IK106" s="69"/>
      <c r="IL106" s="69"/>
      <c r="IM106" s="69"/>
      <c r="IN106" s="69"/>
      <c r="IO106" s="69"/>
      <c r="IP106" s="69"/>
      <c r="IQ106" s="69"/>
      <c r="IR106" s="69"/>
      <c r="IS106" s="69"/>
      <c r="IT106" s="69"/>
      <c r="IU106" s="69"/>
      <c r="IV106" s="69"/>
    </row>
    <row r="107" spans="1:256" ht="13.5">
      <c r="A107" s="129" t="s">
        <v>50</v>
      </c>
      <c r="B107" s="35"/>
      <c r="C107" s="35"/>
      <c r="D107" s="35"/>
      <c r="E107" s="35"/>
      <c r="F107" s="552">
        <v>1</v>
      </c>
      <c r="G107" s="35"/>
      <c r="H107" s="35"/>
      <c r="I107" s="35"/>
      <c r="J107" s="83"/>
      <c r="K107" s="35"/>
      <c r="L107" s="126"/>
      <c r="M107" s="127"/>
      <c r="N107" s="128"/>
      <c r="O107" s="69"/>
      <c r="P107" s="69"/>
      <c r="Q107" s="69"/>
      <c r="R107" s="26"/>
      <c r="S107" s="394"/>
      <c r="T107" s="387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</row>
    <row r="108" spans="1:20" ht="3.75" customHeight="1">
      <c r="A108" s="130"/>
      <c r="B108" s="81"/>
      <c r="C108" s="81"/>
      <c r="D108" s="81"/>
      <c r="E108" s="81"/>
      <c r="F108" s="81"/>
      <c r="G108" s="81"/>
      <c r="H108" s="81"/>
      <c r="I108" s="81"/>
      <c r="J108" s="131"/>
      <c r="K108" s="132"/>
      <c r="R108" s="13"/>
      <c r="S108" s="394"/>
      <c r="T108" s="387"/>
    </row>
    <row r="109" spans="1:20" ht="13.5">
      <c r="A109" s="133" t="s">
        <v>51</v>
      </c>
      <c r="B109" s="81"/>
      <c r="C109" s="631"/>
      <c r="D109" s="631"/>
      <c r="E109" s="631"/>
      <c r="F109" s="631"/>
      <c r="G109" s="631"/>
      <c r="H109" s="631"/>
      <c r="I109" s="631"/>
      <c r="J109" s="134"/>
      <c r="K109" s="135"/>
      <c r="L109" s="36">
        <f>IF(LEN(M109)&gt;40,N109,M109)</f>
      </c>
      <c r="M109" s="3">
        <f>PROPER(TRIM(C109))</f>
      </c>
      <c r="N109" s="4">
        <f>IF(M109="","",LEFT(M109,(FIND(" ",M109)+1))&amp;"."&amp;MID(M109,FIND(" ",M109,FIND(" ",M109)+1)+1,1)&amp;".")</f>
      </c>
      <c r="R109" s="13"/>
      <c r="S109" s="394"/>
      <c r="T109" s="387"/>
    </row>
    <row r="110" spans="1:20" ht="16.5">
      <c r="A110" s="632" t="s">
        <v>52</v>
      </c>
      <c r="B110" s="81"/>
      <c r="C110" s="633" t="s">
        <v>53</v>
      </c>
      <c r="D110" s="633"/>
      <c r="E110" s="633"/>
      <c r="F110" s="633"/>
      <c r="G110" s="633"/>
      <c r="H110" s="633"/>
      <c r="I110" s="136"/>
      <c r="J110" s="137"/>
      <c r="K110" s="138"/>
      <c r="L110" s="36"/>
      <c r="R110" s="13"/>
      <c r="S110" s="394"/>
      <c r="T110" s="387"/>
    </row>
    <row r="111" spans="1:20" ht="15.75" customHeight="1">
      <c r="A111" s="632"/>
      <c r="B111" s="139" t="s">
        <v>54</v>
      </c>
      <c r="C111" s="631"/>
      <c r="D111" s="631"/>
      <c r="E111" s="631"/>
      <c r="F111" s="631"/>
      <c r="G111" s="631"/>
      <c r="H111" s="631"/>
      <c r="I111" s="631"/>
      <c r="J111" s="134"/>
      <c r="K111" s="135"/>
      <c r="L111" s="36">
        <f>IF(LEN(M111)&gt;40,N111,M111)</f>
      </c>
      <c r="M111" s="3">
        <f>PROPER(TRIM(C111))</f>
      </c>
      <c r="N111" s="4">
        <f>IF(M111="","",LEFT(M111,(FIND(" ",M111)+1))&amp;"."&amp;MID(M111,FIND(" ",M111,FIND(" ",M111)+1)+1,1)&amp;".")</f>
      </c>
      <c r="R111" s="13"/>
      <c r="S111" s="394"/>
      <c r="T111" s="387"/>
    </row>
    <row r="112" spans="1:20" ht="16.5">
      <c r="A112" s="140"/>
      <c r="B112" s="139"/>
      <c r="C112" s="633" t="s">
        <v>53</v>
      </c>
      <c r="D112" s="633"/>
      <c r="E112" s="633"/>
      <c r="F112" s="633"/>
      <c r="G112" s="633"/>
      <c r="H112" s="633"/>
      <c r="I112" s="136"/>
      <c r="J112" s="137"/>
      <c r="K112" s="138"/>
      <c r="R112" s="13"/>
      <c r="S112" s="394"/>
      <c r="T112" s="387"/>
    </row>
    <row r="113" spans="1:20" ht="12.75" customHeight="1">
      <c r="A113" s="140"/>
      <c r="B113" s="139">
        <f>IF($F$107&gt;1,"2)","")</f>
      </c>
      <c r="C113" s="631"/>
      <c r="D113" s="631"/>
      <c r="E113" s="631"/>
      <c r="F113" s="631"/>
      <c r="G113" s="631"/>
      <c r="H113" s="631"/>
      <c r="I113" s="631"/>
      <c r="J113" s="134"/>
      <c r="K113" s="135"/>
      <c r="L113" s="36">
        <f>IF(LEN(M113)&gt;40,N113,M113)</f>
      </c>
      <c r="M113" s="3">
        <f>PROPER(TRIM(C113))</f>
      </c>
      <c r="N113" s="4">
        <f>IF(M113="","",LEFT(M113,(FIND(" ",M113)+1))&amp;"."&amp;MID(M113,FIND(" ",M113,FIND(" ",M113)+1)+1,1)&amp;".")</f>
      </c>
      <c r="R113" s="13"/>
      <c r="S113" s="394"/>
      <c r="T113" s="387"/>
    </row>
    <row r="114" spans="1:20" ht="16.5">
      <c r="A114" s="140"/>
      <c r="B114" s="139"/>
      <c r="C114" s="633" t="s">
        <v>53</v>
      </c>
      <c r="D114" s="633"/>
      <c r="E114" s="633"/>
      <c r="F114" s="633"/>
      <c r="G114" s="633"/>
      <c r="H114" s="633"/>
      <c r="I114" s="136"/>
      <c r="J114" s="137"/>
      <c r="K114" s="138"/>
      <c r="R114" s="13"/>
      <c r="S114" s="394"/>
      <c r="T114" s="387"/>
    </row>
    <row r="115" spans="1:20" ht="15.75" customHeight="1" hidden="1">
      <c r="A115" s="141"/>
      <c r="B115" s="139">
        <f>IF($F$107&gt;2,"3)","")</f>
      </c>
      <c r="C115" s="646"/>
      <c r="D115" s="646"/>
      <c r="E115" s="646"/>
      <c r="F115" s="646"/>
      <c r="G115" s="646"/>
      <c r="H115" s="646"/>
      <c r="I115" s="646"/>
      <c r="J115" s="134"/>
      <c r="K115" s="135"/>
      <c r="L115" s="36">
        <f>IF(LEN(M115)&gt;40,N115,M115)</f>
      </c>
      <c r="M115" s="3">
        <f>PROPER(TRIM(C115))</f>
      </c>
      <c r="N115" s="4">
        <f>IF(M115="","",LEFT(M115,(FIND(" ",M115)+1))&amp;"."&amp;MID(M115,FIND(" ",M115,FIND(" ",M115)+1)+1,1)&amp;".")</f>
      </c>
      <c r="R115" s="13"/>
      <c r="S115" s="394"/>
      <c r="T115" s="387"/>
    </row>
    <row r="116" spans="1:20" ht="15.75" customHeight="1" hidden="1">
      <c r="A116" s="141"/>
      <c r="B116" s="142"/>
      <c r="C116" s="647" t="s">
        <v>55</v>
      </c>
      <c r="D116" s="647"/>
      <c r="E116" s="647"/>
      <c r="F116" s="647"/>
      <c r="G116" s="647"/>
      <c r="H116" s="647"/>
      <c r="I116" s="136"/>
      <c r="J116" s="137"/>
      <c r="K116" s="138"/>
      <c r="R116" s="13"/>
      <c r="S116" s="394"/>
      <c r="T116" s="387"/>
    </row>
    <row r="117" spans="1:20" ht="4.5" customHeight="1">
      <c r="A117" s="28"/>
      <c r="B117" s="13"/>
      <c r="C117" s="13"/>
      <c r="D117" s="13"/>
      <c r="E117" s="13"/>
      <c r="F117" s="13"/>
      <c r="G117" s="13"/>
      <c r="H117" s="13"/>
      <c r="I117" s="13"/>
      <c r="J117" s="143"/>
      <c r="K117" s="26"/>
      <c r="R117" s="13"/>
      <c r="S117" s="394"/>
      <c r="T117" s="387"/>
    </row>
    <row r="118" spans="1:20" ht="15.75" customHeight="1">
      <c r="A118" s="144" t="s">
        <v>56</v>
      </c>
      <c r="B118" s="145" t="s">
        <v>57</v>
      </c>
      <c r="C118" s="553">
        <v>1</v>
      </c>
      <c r="D118" s="146" t="s">
        <v>58</v>
      </c>
      <c r="E118" s="553" t="s">
        <v>59</v>
      </c>
      <c r="F118" s="147"/>
      <c r="G118" s="148">
        <v>20</v>
      </c>
      <c r="H118" s="554">
        <v>21</v>
      </c>
      <c r="I118" s="149" t="s">
        <v>60</v>
      </c>
      <c r="J118" s="150"/>
      <c r="K118" s="3" t="str">
        <f>IF(фио_ОС&lt;&gt;""," « "&amp;'общие сведения'!C118&amp;" » "&amp;'общие сведения'!E118&amp;" 20"&amp;год&amp;" г.","« __ » ___________  20__ г.")</f>
        <v>« __ » ___________  20__ г.</v>
      </c>
      <c r="R118" s="13"/>
      <c r="S118" s="394"/>
      <c r="T118" s="387"/>
    </row>
    <row r="119" spans="1:20" ht="12.75" customHeight="1">
      <c r="A119" s="144"/>
      <c r="B119" s="145"/>
      <c r="C119" s="146"/>
      <c r="D119" s="146"/>
      <c r="E119" s="146"/>
      <c r="F119" s="146"/>
      <c r="G119" s="146"/>
      <c r="H119" s="146"/>
      <c r="I119" s="149"/>
      <c r="J119" s="150"/>
      <c r="K119" s="151"/>
      <c r="R119" s="13"/>
      <c r="S119" s="394"/>
      <c r="T119" s="387"/>
    </row>
    <row r="120" spans="1:20" ht="24" customHeight="1">
      <c r="A120" s="648" t="s">
        <v>465</v>
      </c>
      <c r="B120" s="649"/>
      <c r="C120" s="649"/>
      <c r="D120" s="649"/>
      <c r="E120" s="649"/>
      <c r="F120" s="649"/>
      <c r="G120" s="649"/>
      <c r="H120" s="649"/>
      <c r="I120" s="649"/>
      <c r="J120" s="152"/>
      <c r="K120" s="26"/>
      <c r="R120" s="13"/>
      <c r="S120" s="394"/>
      <c r="T120" s="387"/>
    </row>
    <row r="121" spans="1:20" ht="15.75" customHeight="1">
      <c r="A121" s="400"/>
      <c r="B121" s="153"/>
      <c r="C121" s="153"/>
      <c r="D121" s="194"/>
      <c r="E121" s="154">
        <f>IF(F121="","","Всего набрано аттестуемым педагогическим работником  ")</f>
      </c>
      <c r="F121" s="414">
        <f>IF(ЭЗ!Всего=0,"",ЭЗ!Всего)</f>
      </c>
      <c r="G121" s="155">
        <f>IF(F121="","","баллов.")</f>
      </c>
      <c r="H121" s="194"/>
      <c r="I121" s="181">
        <f>IF(F121="","","(мин. П-"&amp;порог_п&amp;", В-"&amp;порог_в&amp;")")</f>
      </c>
      <c r="J121" s="29"/>
      <c r="K121" s="26"/>
      <c r="R121" s="13"/>
      <c r="S121" s="394"/>
      <c r="T121" s="387"/>
    </row>
    <row r="122" spans="1:20" ht="21.75" customHeight="1">
      <c r="A122" s="401"/>
      <c r="B122" s="332"/>
      <c r="C122" s="332"/>
      <c r="D122" s="332"/>
      <c r="E122" s="332"/>
      <c r="F122" s="415"/>
      <c r="G122" s="332"/>
      <c r="H122" s="332"/>
      <c r="I122" s="13"/>
      <c r="J122" s="514">
        <f>IF(OR(F121="",долж_ОС&lt;&gt;"учитель"),"",B24)</f>
      </c>
      <c r="K122" s="26"/>
      <c r="R122" s="13"/>
      <c r="S122" s="394"/>
      <c r="T122" s="387"/>
    </row>
    <row r="123" spans="1:20" ht="15" customHeight="1">
      <c r="A123" s="697">
        <f>IF(F121="","",ЭЗ!Z83&amp;K124&amp;ЭЗ!Z84)</f>
      </c>
      <c r="B123" s="698"/>
      <c r="C123" s="698"/>
      <c r="D123" s="698"/>
      <c r="E123" s="698"/>
      <c r="F123" s="698"/>
      <c r="G123" s="698"/>
      <c r="H123" s="698"/>
      <c r="I123" s="698"/>
      <c r="J123" s="699"/>
      <c r="K123" s="26">
        <f>ЭЗ!Z82</f>
      </c>
      <c r="R123" s="13"/>
      <c r="S123" s="394"/>
      <c r="T123" s="387"/>
    </row>
    <row r="124" spans="1:20" ht="23.25" customHeight="1">
      <c r="A124" s="697"/>
      <c r="B124" s="698"/>
      <c r="C124" s="698"/>
      <c r="D124" s="698"/>
      <c r="E124" s="698"/>
      <c r="F124" s="698"/>
      <c r="G124" s="698"/>
      <c r="H124" s="698"/>
      <c r="I124" s="698"/>
      <c r="J124" s="699"/>
      <c r="K124" s="445" t="s">
        <v>470</v>
      </c>
      <c r="L124" s="2" t="s">
        <v>507</v>
      </c>
      <c r="R124" s="13"/>
      <c r="S124" s="394"/>
      <c r="T124" s="387"/>
    </row>
    <row r="125" spans="1:20" ht="15.75" customHeight="1">
      <c r="A125" s="635">
        <f>IF(A126="","","Рекомендации: ")</f>
      </c>
      <c r="B125" s="636"/>
      <c r="C125" s="636"/>
      <c r="D125" s="636"/>
      <c r="E125" s="636"/>
      <c r="F125" s="636"/>
      <c r="G125" s="636"/>
      <c r="H125" s="636"/>
      <c r="I125" s="636"/>
      <c r="J125" s="637"/>
      <c r="K125" s="26"/>
      <c r="R125" s="13"/>
      <c r="S125" s="394"/>
      <c r="T125" s="387"/>
    </row>
    <row r="126" spans="1:20" ht="32.25" customHeight="1">
      <c r="A126" s="650">
        <f>IF(фио_ОС="","",рек_итог)</f>
      </c>
      <c r="B126" s="651"/>
      <c r="C126" s="651"/>
      <c r="D126" s="651"/>
      <c r="E126" s="651"/>
      <c r="F126" s="651"/>
      <c r="G126" s="651"/>
      <c r="H126" s="651"/>
      <c r="I126" s="651"/>
      <c r="J126" s="652"/>
      <c r="K126" s="26"/>
      <c r="R126" s="13"/>
      <c r="S126" s="394"/>
      <c r="T126" s="387"/>
    </row>
    <row r="127" spans="1:20" ht="3.75" customHeight="1">
      <c r="A127" s="156"/>
      <c r="B127" s="157"/>
      <c r="C127" s="157"/>
      <c r="D127" s="157"/>
      <c r="E127" s="157"/>
      <c r="F127" s="157"/>
      <c r="G127" s="157"/>
      <c r="H127" s="157"/>
      <c r="I127" s="157"/>
      <c r="J127" s="158"/>
      <c r="K127" s="26"/>
      <c r="R127" s="13"/>
      <c r="S127" s="394"/>
      <c r="T127" s="387"/>
    </row>
    <row r="128" spans="1:20" ht="15.75" customHeight="1">
      <c r="A128" s="653" t="str">
        <f>IF(ЭЗ!A442&lt;12,"Введите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8" s="654"/>
      <c r="C128" s="654"/>
      <c r="D128" s="654"/>
      <c r="E128" s="654"/>
      <c r="F128" s="654"/>
      <c r="G128" s="654"/>
      <c r="H128" s="654"/>
      <c r="I128" s="654"/>
      <c r="J128" s="655"/>
      <c r="K128" s="1"/>
      <c r="R128" s="13"/>
      <c r="S128" s="394"/>
      <c r="T128" s="387"/>
    </row>
    <row r="129" spans="1:20" ht="9" customHeight="1">
      <c r="A129" s="656"/>
      <c r="B129" s="657"/>
      <c r="C129" s="657"/>
      <c r="D129" s="657"/>
      <c r="E129" s="657"/>
      <c r="F129" s="657"/>
      <c r="G129" s="657"/>
      <c r="H129" s="657"/>
      <c r="I129" s="657"/>
      <c r="J129" s="658"/>
      <c r="K129" s="323" t="s">
        <v>61</v>
      </c>
      <c r="R129" s="13"/>
      <c r="S129" s="394"/>
      <c r="T129" s="387"/>
    </row>
    <row r="130" spans="1:20" ht="12.75" customHeight="1" hidden="1">
      <c r="A130" s="13"/>
      <c r="B130" s="159">
        <v>1</v>
      </c>
      <c r="C130" s="159">
        <v>2</v>
      </c>
      <c r="D130" s="159">
        <v>3</v>
      </c>
      <c r="E130" s="159">
        <v>4</v>
      </c>
      <c r="F130" s="159">
        <v>5</v>
      </c>
      <c r="G130" s="159">
        <v>6</v>
      </c>
      <c r="H130" s="159">
        <v>7</v>
      </c>
      <c r="I130" s="13"/>
      <c r="K130" s="2"/>
      <c r="L130" s="3"/>
      <c r="M130" s="4"/>
      <c r="N130" s="5"/>
      <c r="P130" s="160"/>
      <c r="Q130" s="13"/>
      <c r="R130" s="13"/>
      <c r="S130" s="394"/>
      <c r="T130" s="387"/>
    </row>
    <row r="131" spans="1:20" ht="15.75" customHeight="1" hidden="1">
      <c r="A131" s="13">
        <v>1</v>
      </c>
      <c r="B131" s="321" t="s">
        <v>62</v>
      </c>
      <c r="C131" s="322" t="s">
        <v>63</v>
      </c>
      <c r="D131" s="323" t="s">
        <v>64</v>
      </c>
      <c r="E131" s="322" t="s">
        <v>65</v>
      </c>
      <c r="F131" s="321" t="s">
        <v>66</v>
      </c>
      <c r="G131" s="322" t="s">
        <v>67</v>
      </c>
      <c r="H131" s="321" t="s">
        <v>68</v>
      </c>
      <c r="I131" s="324"/>
      <c r="J131" s="325" t="s">
        <v>339</v>
      </c>
      <c r="K131" s="2"/>
      <c r="L131" s="3"/>
      <c r="M131" s="4"/>
      <c r="N131" s="5"/>
      <c r="P131" s="160"/>
      <c r="Q131" s="13"/>
      <c r="R131" s="13"/>
      <c r="S131" s="394"/>
      <c r="T131" s="387"/>
    </row>
    <row r="132" spans="1:20" ht="15.75" customHeight="1" hidden="1">
      <c r="A132" s="13">
        <v>2</v>
      </c>
      <c r="B132" s="321" t="s">
        <v>275</v>
      </c>
      <c r="C132" s="322" t="s">
        <v>69</v>
      </c>
      <c r="D132" s="323" t="s">
        <v>335</v>
      </c>
      <c r="E132" s="322" t="s">
        <v>70</v>
      </c>
      <c r="F132" s="321" t="s">
        <v>71</v>
      </c>
      <c r="G132" s="322" t="s">
        <v>72</v>
      </c>
      <c r="H132" s="321" t="s">
        <v>73</v>
      </c>
      <c r="I132" s="13"/>
      <c r="K132" s="2"/>
      <c r="L132" s="3"/>
      <c r="M132" s="4"/>
      <c r="N132" s="5"/>
      <c r="P132" s="160"/>
      <c r="Q132" s="13"/>
      <c r="R132" s="13"/>
      <c r="S132" s="394"/>
      <c r="T132" s="387"/>
    </row>
    <row r="133" spans="1:20" ht="15.75" customHeight="1" hidden="1">
      <c r="A133" s="13">
        <v>3</v>
      </c>
      <c r="B133" s="321" t="s">
        <v>74</v>
      </c>
      <c r="C133" s="322" t="s">
        <v>75</v>
      </c>
      <c r="D133" s="323" t="s">
        <v>76</v>
      </c>
      <c r="E133" s="322" t="s">
        <v>77</v>
      </c>
      <c r="F133" s="321" t="s">
        <v>78</v>
      </c>
      <c r="G133" s="322" t="s">
        <v>79</v>
      </c>
      <c r="H133" s="321" t="s">
        <v>80</v>
      </c>
      <c r="I133" s="13"/>
      <c r="K133" s="2"/>
      <c r="L133" s="3"/>
      <c r="M133" s="4"/>
      <c r="N133" s="5"/>
      <c r="P133" s="160"/>
      <c r="Q133" s="13"/>
      <c r="R133" s="13"/>
      <c r="S133" s="394"/>
      <c r="T133" s="387"/>
    </row>
    <row r="134" spans="1:20" ht="15.75" customHeight="1" hidden="1">
      <c r="A134" s="13">
        <v>4</v>
      </c>
      <c r="B134" s="321" t="s">
        <v>85</v>
      </c>
      <c r="C134" s="322" t="s">
        <v>86</v>
      </c>
      <c r="D134" s="323" t="s">
        <v>81</v>
      </c>
      <c r="E134" s="322" t="s">
        <v>82</v>
      </c>
      <c r="F134" s="321" t="s">
        <v>337</v>
      </c>
      <c r="G134" s="322" t="s">
        <v>83</v>
      </c>
      <c r="H134" s="321" t="s">
        <v>84</v>
      </c>
      <c r="I134" s="13"/>
      <c r="K134" s="2"/>
      <c r="L134" s="3"/>
      <c r="M134" s="4"/>
      <c r="N134" s="5"/>
      <c r="P134" s="160"/>
      <c r="Q134" s="13"/>
      <c r="R134" s="13"/>
      <c r="S134" s="394"/>
      <c r="T134" s="387"/>
    </row>
    <row r="135" spans="1:20" ht="15.75" customHeight="1" hidden="1">
      <c r="A135" s="13">
        <v>5</v>
      </c>
      <c r="B135" s="321" t="s">
        <v>92</v>
      </c>
      <c r="C135" s="322" t="s">
        <v>93</v>
      </c>
      <c r="D135" s="323" t="s">
        <v>87</v>
      </c>
      <c r="E135" s="322" t="s">
        <v>88</v>
      </c>
      <c r="F135" s="321" t="s">
        <v>89</v>
      </c>
      <c r="G135" s="322" t="s">
        <v>90</v>
      </c>
      <c r="H135" s="321" t="s">
        <v>91</v>
      </c>
      <c r="I135" s="13"/>
      <c r="K135" s="2"/>
      <c r="L135" s="3"/>
      <c r="M135" s="4"/>
      <c r="N135" s="5"/>
      <c r="P135" s="160"/>
      <c r="Q135" s="13"/>
      <c r="R135" s="13"/>
      <c r="S135" s="394"/>
      <c r="T135" s="387"/>
    </row>
    <row r="136" spans="1:20" ht="15.75" customHeight="1" hidden="1">
      <c r="A136" s="13">
        <v>6</v>
      </c>
      <c r="B136" s="321" t="s">
        <v>99</v>
      </c>
      <c r="C136" s="322" t="s">
        <v>334</v>
      </c>
      <c r="D136" s="323" t="s">
        <v>94</v>
      </c>
      <c r="E136" s="322" t="s">
        <v>95</v>
      </c>
      <c r="F136" s="321" t="s">
        <v>96</v>
      </c>
      <c r="G136" s="322" t="s">
        <v>97</v>
      </c>
      <c r="H136" s="321" t="s">
        <v>98</v>
      </c>
      <c r="I136" s="13"/>
      <c r="K136" s="2"/>
      <c r="L136" s="3"/>
      <c r="M136" s="4"/>
      <c r="N136" s="5"/>
      <c r="P136" s="160"/>
      <c r="Q136" s="13"/>
      <c r="R136" s="13"/>
      <c r="S136" s="394"/>
      <c r="T136" s="387"/>
    </row>
    <row r="137" spans="1:20" ht="15.75" customHeight="1" hidden="1">
      <c r="A137" s="13">
        <v>7</v>
      </c>
      <c r="B137" s="321" t="s">
        <v>103</v>
      </c>
      <c r="C137" s="322" t="s">
        <v>104</v>
      </c>
      <c r="D137" s="323" t="s">
        <v>100</v>
      </c>
      <c r="E137" s="322" t="s">
        <v>101</v>
      </c>
      <c r="F137" s="321" t="s">
        <v>338</v>
      </c>
      <c r="G137" s="322" t="s">
        <v>108</v>
      </c>
      <c r="H137" s="321" t="s">
        <v>102</v>
      </c>
      <c r="I137" s="13"/>
      <c r="K137" s="2"/>
      <c r="L137" s="3"/>
      <c r="M137" s="4"/>
      <c r="N137" s="5"/>
      <c r="P137" s="160"/>
      <c r="Q137" s="13"/>
      <c r="R137" s="13"/>
      <c r="S137" s="394"/>
      <c r="T137" s="387"/>
    </row>
    <row r="138" spans="1:20" ht="15.75" customHeight="1" hidden="1">
      <c r="A138" s="13">
        <v>8</v>
      </c>
      <c r="B138" s="321" t="s">
        <v>110</v>
      </c>
      <c r="C138" s="322" t="s">
        <v>111</v>
      </c>
      <c r="D138" s="323" t="s">
        <v>105</v>
      </c>
      <c r="E138" s="322" t="s">
        <v>106</v>
      </c>
      <c r="F138" s="321" t="s">
        <v>107</v>
      </c>
      <c r="G138" s="323" t="s">
        <v>5</v>
      </c>
      <c r="H138" s="321" t="s">
        <v>109</v>
      </c>
      <c r="I138" s="13"/>
      <c r="K138" s="2"/>
      <c r="L138" s="3"/>
      <c r="M138" s="4"/>
      <c r="N138" s="5"/>
      <c r="P138" s="160"/>
      <c r="Q138" s="13"/>
      <c r="R138" s="13"/>
      <c r="S138" s="394"/>
      <c r="T138" s="387"/>
    </row>
    <row r="139" spans="1:20" ht="15.75" customHeight="1" hidden="1">
      <c r="A139" s="13">
        <v>9</v>
      </c>
      <c r="B139" s="321" t="s">
        <v>5</v>
      </c>
      <c r="C139" s="322" t="s">
        <v>114</v>
      </c>
      <c r="D139" s="323" t="s">
        <v>115</v>
      </c>
      <c r="E139" s="322" t="s">
        <v>112</v>
      </c>
      <c r="F139" s="321" t="s">
        <v>113</v>
      </c>
      <c r="G139" s="322" t="s">
        <v>5</v>
      </c>
      <c r="H139" s="323" t="s">
        <v>5</v>
      </c>
      <c r="I139" s="13"/>
      <c r="K139" s="2"/>
      <c r="L139" s="3"/>
      <c r="M139" s="4"/>
      <c r="N139" s="5"/>
      <c r="P139" s="160"/>
      <c r="Q139" s="13"/>
      <c r="R139" s="13"/>
      <c r="S139" s="394"/>
      <c r="T139" s="387"/>
    </row>
    <row r="140" spans="1:20" ht="15.75" customHeight="1" hidden="1">
      <c r="A140" s="13">
        <v>10</v>
      </c>
      <c r="B140" s="321" t="s">
        <v>5</v>
      </c>
      <c r="C140" s="322" t="s">
        <v>116</v>
      </c>
      <c r="D140" s="323" t="s">
        <v>5</v>
      </c>
      <c r="E140" s="322" t="s">
        <v>336</v>
      </c>
      <c r="F140" s="323" t="s">
        <v>5</v>
      </c>
      <c r="G140" s="322" t="s">
        <v>5</v>
      </c>
      <c r="H140" s="321" t="s">
        <v>5</v>
      </c>
      <c r="I140" s="13"/>
      <c r="K140" s="2"/>
      <c r="L140" s="3"/>
      <c r="M140" s="4"/>
      <c r="N140" s="5"/>
      <c r="P140" s="160"/>
      <c r="Q140" s="13"/>
      <c r="R140" s="13"/>
      <c r="S140" s="394"/>
      <c r="T140" s="387"/>
    </row>
    <row r="141" spans="1:20" ht="15.75" customHeight="1" hidden="1">
      <c r="A141" s="13">
        <v>11</v>
      </c>
      <c r="B141" s="321" t="s">
        <v>5</v>
      </c>
      <c r="C141" s="322" t="s">
        <v>117</v>
      </c>
      <c r="D141" s="323" t="s">
        <v>5</v>
      </c>
      <c r="E141" s="323" t="s">
        <v>5</v>
      </c>
      <c r="F141" s="321" t="s">
        <v>5</v>
      </c>
      <c r="G141" s="322" t="s">
        <v>5</v>
      </c>
      <c r="H141" s="321" t="s">
        <v>5</v>
      </c>
      <c r="I141" s="13"/>
      <c r="K141" s="2"/>
      <c r="L141" s="3"/>
      <c r="M141" s="4"/>
      <c r="N141" s="5"/>
      <c r="P141" s="160"/>
      <c r="Q141" s="13"/>
      <c r="R141" s="13"/>
      <c r="S141" s="394"/>
      <c r="T141" s="387"/>
    </row>
    <row r="142" spans="1:20" ht="15.75" customHeight="1" hidden="1">
      <c r="A142" s="13">
        <v>12</v>
      </c>
      <c r="B142" s="321" t="s">
        <v>5</v>
      </c>
      <c r="C142" s="322" t="s">
        <v>118</v>
      </c>
      <c r="D142" s="323" t="s">
        <v>5</v>
      </c>
      <c r="E142" s="322" t="s">
        <v>5</v>
      </c>
      <c r="F142" s="321" t="s">
        <v>5</v>
      </c>
      <c r="G142" s="322" t="s">
        <v>5</v>
      </c>
      <c r="H142" s="321" t="s">
        <v>5</v>
      </c>
      <c r="I142" s="13"/>
      <c r="K142" s="2"/>
      <c r="L142" s="3"/>
      <c r="M142" s="4"/>
      <c r="N142" s="5"/>
      <c r="P142" s="160"/>
      <c r="Q142" s="13"/>
      <c r="R142" s="13"/>
      <c r="S142" s="394"/>
      <c r="T142" s="387"/>
    </row>
    <row r="143" spans="1:20" ht="15.75" customHeight="1" hidden="1">
      <c r="A143" s="161" t="s">
        <v>5</v>
      </c>
      <c r="B143" s="161" t="s">
        <v>5</v>
      </c>
      <c r="C143" s="161" t="s">
        <v>5</v>
      </c>
      <c r="D143" s="161" t="s">
        <v>5</v>
      </c>
      <c r="E143" s="161" t="s">
        <v>5</v>
      </c>
      <c r="F143" s="161" t="s">
        <v>5</v>
      </c>
      <c r="G143" s="161" t="s">
        <v>5</v>
      </c>
      <c r="H143" s="161" t="s">
        <v>5</v>
      </c>
      <c r="I143" s="161" t="s">
        <v>5</v>
      </c>
      <c r="K143" s="2"/>
      <c r="L143" s="3"/>
      <c r="M143" s="4"/>
      <c r="N143" s="5"/>
      <c r="P143" s="160"/>
      <c r="Q143" s="13"/>
      <c r="R143" s="13"/>
      <c r="S143" s="394"/>
      <c r="T143" s="387"/>
    </row>
    <row r="144" spans="1:20" ht="12.75" customHeight="1" hidden="1">
      <c r="A144" s="161" t="s">
        <v>5</v>
      </c>
      <c r="B144" s="161" t="s">
        <v>5</v>
      </c>
      <c r="C144" s="161" t="s">
        <v>5</v>
      </c>
      <c r="D144" s="161" t="s">
        <v>5</v>
      </c>
      <c r="E144" s="161" t="s">
        <v>5</v>
      </c>
      <c r="F144" s="161" t="s">
        <v>5</v>
      </c>
      <c r="G144" s="161" t="s">
        <v>5</v>
      </c>
      <c r="H144" s="161" t="s">
        <v>5</v>
      </c>
      <c r="I144" s="161" t="s">
        <v>5</v>
      </c>
      <c r="K144" s="2"/>
      <c r="L144" s="3"/>
      <c r="M144" s="4"/>
      <c r="N144" s="5"/>
      <c r="P144" s="160"/>
      <c r="Q144" s="13"/>
      <c r="R144" s="13"/>
      <c r="S144" s="394"/>
      <c r="T144" s="387"/>
    </row>
    <row r="145" spans="1:20" ht="12.75" customHeight="1" hidden="1">
      <c r="A145" s="161" t="s">
        <v>5</v>
      </c>
      <c r="B145" s="161" t="s">
        <v>5</v>
      </c>
      <c r="C145" s="161" t="s">
        <v>5</v>
      </c>
      <c r="D145" s="161" t="s">
        <v>5</v>
      </c>
      <c r="E145" s="161" t="s">
        <v>5</v>
      </c>
      <c r="F145" s="161" t="s">
        <v>5</v>
      </c>
      <c r="G145" s="161" t="s">
        <v>5</v>
      </c>
      <c r="H145" s="161" t="s">
        <v>5</v>
      </c>
      <c r="I145" s="161" t="s">
        <v>5</v>
      </c>
      <c r="J145" s="29"/>
      <c r="K145" s="26"/>
      <c r="R145" s="13"/>
      <c r="S145" s="394"/>
      <c r="T145" s="387"/>
    </row>
    <row r="146" spans="1:20" ht="4.5" customHeight="1">
      <c r="A146" s="28"/>
      <c r="B146" s="13"/>
      <c r="C146" s="161"/>
      <c r="D146" s="161"/>
      <c r="E146" s="161"/>
      <c r="F146" s="13"/>
      <c r="G146" s="13"/>
      <c r="H146" s="13"/>
      <c r="I146" s="13"/>
      <c r="J146" s="29"/>
      <c r="K146" s="26"/>
      <c r="R146" s="13"/>
      <c r="S146" s="394"/>
      <c r="T146" s="387"/>
    </row>
    <row r="147" spans="1:256" ht="19.5" customHeight="1">
      <c r="A147" s="643" t="s">
        <v>119</v>
      </c>
      <c r="B147" s="644"/>
      <c r="C147" s="644"/>
      <c r="D147" s="644"/>
      <c r="E147" s="644"/>
      <c r="F147" s="644"/>
      <c r="G147" s="644"/>
      <c r="H147" s="644"/>
      <c r="I147" s="644"/>
      <c r="J147" s="645"/>
      <c r="K147" s="162"/>
      <c r="L147" s="163"/>
      <c r="M147" s="164"/>
      <c r="N147" s="165"/>
      <c r="O147" s="166"/>
      <c r="P147" s="166"/>
      <c r="Q147" s="166"/>
      <c r="R147" s="167"/>
      <c r="S147" s="394"/>
      <c r="T147" s="387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6"/>
      <c r="CD147" s="166"/>
      <c r="CE147" s="166"/>
      <c r="CF147" s="166"/>
      <c r="CG147" s="166"/>
      <c r="CH147" s="166"/>
      <c r="CI147" s="166"/>
      <c r="CJ147" s="166"/>
      <c r="CK147" s="166"/>
      <c r="CL147" s="166"/>
      <c r="CM147" s="166"/>
      <c r="CN147" s="166"/>
      <c r="CO147" s="166"/>
      <c r="CP147" s="166"/>
      <c r="CQ147" s="166"/>
      <c r="CR147" s="166"/>
      <c r="CS147" s="166"/>
      <c r="CT147" s="166"/>
      <c r="CU147" s="166"/>
      <c r="CV147" s="166"/>
      <c r="CW147" s="166"/>
      <c r="CX147" s="166"/>
      <c r="CY147" s="166"/>
      <c r="CZ147" s="166"/>
      <c r="DA147" s="166"/>
      <c r="DB147" s="166"/>
      <c r="DC147" s="166"/>
      <c r="DD147" s="166"/>
      <c r="DE147" s="166"/>
      <c r="DF147" s="166"/>
      <c r="DG147" s="166"/>
      <c r="DH147" s="166"/>
      <c r="DI147" s="166"/>
      <c r="DJ147" s="166"/>
      <c r="DK147" s="166"/>
      <c r="DL147" s="166"/>
      <c r="DM147" s="166"/>
      <c r="DN147" s="166"/>
      <c r="DO147" s="166"/>
      <c r="DP147" s="166"/>
      <c r="DQ147" s="166"/>
      <c r="DR147" s="166"/>
      <c r="DS147" s="166"/>
      <c r="DT147" s="166"/>
      <c r="DU147" s="166"/>
      <c r="DV147" s="166"/>
      <c r="DW147" s="166"/>
      <c r="DX147" s="166"/>
      <c r="DY147" s="166"/>
      <c r="DZ147" s="166"/>
      <c r="EA147" s="166"/>
      <c r="EB147" s="166"/>
      <c r="EC147" s="166"/>
      <c r="ED147" s="166"/>
      <c r="EE147" s="166"/>
      <c r="EF147" s="166"/>
      <c r="EG147" s="166"/>
      <c r="EH147" s="166"/>
      <c r="EI147" s="166"/>
      <c r="EJ147" s="166"/>
      <c r="EK147" s="166"/>
      <c r="EL147" s="166"/>
      <c r="EM147" s="166"/>
      <c r="EN147" s="166"/>
      <c r="EO147" s="166"/>
      <c r="EP147" s="166"/>
      <c r="EQ147" s="166"/>
      <c r="ER147" s="166"/>
      <c r="ES147" s="166"/>
      <c r="ET147" s="166"/>
      <c r="EU147" s="166"/>
      <c r="EV147" s="166"/>
      <c r="EW147" s="166"/>
      <c r="EX147" s="166"/>
      <c r="EY147" s="166"/>
      <c r="EZ147" s="166"/>
      <c r="FA147" s="166"/>
      <c r="FB147" s="166"/>
      <c r="FC147" s="166"/>
      <c r="FD147" s="166"/>
      <c r="FE147" s="166"/>
      <c r="FF147" s="166"/>
      <c r="FG147" s="166"/>
      <c r="FH147" s="166"/>
      <c r="FI147" s="166"/>
      <c r="FJ147" s="166"/>
      <c r="FK147" s="166"/>
      <c r="FL147" s="166"/>
      <c r="FM147" s="166"/>
      <c r="FN147" s="166"/>
      <c r="FO147" s="166"/>
      <c r="FP147" s="166"/>
      <c r="FQ147" s="166"/>
      <c r="FR147" s="166"/>
      <c r="FS147" s="166"/>
      <c r="FT147" s="166"/>
      <c r="FU147" s="166"/>
      <c r="FV147" s="166"/>
      <c r="FW147" s="166"/>
      <c r="FX147" s="166"/>
      <c r="FY147" s="166"/>
      <c r="FZ147" s="166"/>
      <c r="GA147" s="166"/>
      <c r="GB147" s="166"/>
      <c r="GC147" s="166"/>
      <c r="GD147" s="166"/>
      <c r="GE147" s="166"/>
      <c r="GF147" s="166"/>
      <c r="GG147" s="166"/>
      <c r="GH147" s="166"/>
      <c r="GI147" s="166"/>
      <c r="GJ147" s="166"/>
      <c r="GK147" s="166"/>
      <c r="GL147" s="166"/>
      <c r="GM147" s="166"/>
      <c r="GN147" s="166"/>
      <c r="GO147" s="166"/>
      <c r="GP147" s="166"/>
      <c r="GQ147" s="166"/>
      <c r="GR147" s="166"/>
      <c r="GS147" s="166"/>
      <c r="GT147" s="166"/>
      <c r="GU147" s="166"/>
      <c r="GV147" s="166"/>
      <c r="GW147" s="166"/>
      <c r="GX147" s="166"/>
      <c r="GY147" s="166"/>
      <c r="GZ147" s="166"/>
      <c r="HA147" s="166"/>
      <c r="HB147" s="166"/>
      <c r="HC147" s="166"/>
      <c r="HD147" s="166"/>
      <c r="HE147" s="166"/>
      <c r="HF147" s="166"/>
      <c r="HG147" s="166"/>
      <c r="HH147" s="166"/>
      <c r="HI147" s="166"/>
      <c r="HJ147" s="166"/>
      <c r="HK147" s="166"/>
      <c r="HL147" s="166"/>
      <c r="HM147" s="166"/>
      <c r="HN147" s="166"/>
      <c r="HO147" s="166"/>
      <c r="HP147" s="166"/>
      <c r="HQ147" s="166"/>
      <c r="HR147" s="166"/>
      <c r="HS147" s="166"/>
      <c r="HT147" s="166"/>
      <c r="HU147" s="166"/>
      <c r="HV147" s="166"/>
      <c r="HW147" s="166"/>
      <c r="HX147" s="166"/>
      <c r="HY147" s="166"/>
      <c r="HZ147" s="166"/>
      <c r="IA147" s="166"/>
      <c r="IB147" s="166"/>
      <c r="IC147" s="166"/>
      <c r="ID147" s="166"/>
      <c r="IE147" s="166"/>
      <c r="IF147" s="166"/>
      <c r="IG147" s="166"/>
      <c r="IH147" s="166"/>
      <c r="II147" s="166"/>
      <c r="IJ147" s="166"/>
      <c r="IK147" s="166"/>
      <c r="IL147" s="166"/>
      <c r="IM147" s="166"/>
      <c r="IN147" s="166"/>
      <c r="IO147" s="166"/>
      <c r="IP147" s="166"/>
      <c r="IQ147" s="166"/>
      <c r="IR147" s="166"/>
      <c r="IS147" s="166"/>
      <c r="IT147" s="166"/>
      <c r="IU147" s="166"/>
      <c r="IV147" s="166"/>
    </row>
    <row r="148" spans="1:256" s="69" customFormat="1" ht="4.5" customHeight="1">
      <c r="A148" s="28"/>
      <c r="B148" s="13"/>
      <c r="C148" s="13"/>
      <c r="D148" s="13"/>
      <c r="E148" s="13"/>
      <c r="F148" s="13"/>
      <c r="G148" s="13"/>
      <c r="H148" s="13"/>
      <c r="I148" s="13"/>
      <c r="J148" s="29"/>
      <c r="K148" s="26"/>
      <c r="L148" s="163"/>
      <c r="M148" s="3"/>
      <c r="N148" s="4"/>
      <c r="O148" s="5"/>
      <c r="P148" s="5"/>
      <c r="Q148" s="5"/>
      <c r="R148" s="13"/>
      <c r="S148" s="394"/>
      <c r="T148" s="387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69" customFormat="1" ht="4.5" customHeight="1">
      <c r="A149" s="28"/>
      <c r="B149" s="13"/>
      <c r="C149" s="13"/>
      <c r="D149" s="13"/>
      <c r="E149" s="13"/>
      <c r="F149" s="13"/>
      <c r="G149" s="13"/>
      <c r="H149" s="13"/>
      <c r="I149" s="13"/>
      <c r="J149" s="29"/>
      <c r="K149" s="26"/>
      <c r="L149" s="163"/>
      <c r="M149" s="3"/>
      <c r="N149" s="4"/>
      <c r="O149" s="5"/>
      <c r="P149" s="5"/>
      <c r="Q149" s="5"/>
      <c r="R149" s="13"/>
      <c r="S149" s="394"/>
      <c r="T149" s="387"/>
      <c r="U149" s="5"/>
      <c r="V149" s="169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9.5" customHeight="1">
      <c r="A150" s="643" t="s">
        <v>165</v>
      </c>
      <c r="B150" s="644"/>
      <c r="C150" s="644"/>
      <c r="D150" s="644"/>
      <c r="E150" s="644"/>
      <c r="F150" s="644"/>
      <c r="G150" s="644"/>
      <c r="H150" s="644"/>
      <c r="I150" s="644"/>
      <c r="J150" s="645"/>
      <c r="K150" s="162"/>
      <c r="L150" s="163"/>
      <c r="M150" s="170"/>
      <c r="N150" s="170"/>
      <c r="O150" s="170"/>
      <c r="P150" s="171"/>
      <c r="Q150" s="171"/>
      <c r="R150" s="167"/>
      <c r="S150" s="394"/>
      <c r="T150" s="387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6"/>
      <c r="CD150" s="166"/>
      <c r="CE150" s="166"/>
      <c r="CF150" s="166"/>
      <c r="CG150" s="166"/>
      <c r="CH150" s="166"/>
      <c r="CI150" s="166"/>
      <c r="CJ150" s="166"/>
      <c r="CK150" s="166"/>
      <c r="CL150" s="166"/>
      <c r="CM150" s="166"/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6"/>
      <c r="CY150" s="166"/>
      <c r="CZ150" s="166"/>
      <c r="DA150" s="166"/>
      <c r="DB150" s="166"/>
      <c r="DC150" s="166"/>
      <c r="DD150" s="166"/>
      <c r="DE150" s="166"/>
      <c r="DF150" s="166"/>
      <c r="DG150" s="166"/>
      <c r="DH150" s="166"/>
      <c r="DI150" s="166"/>
      <c r="DJ150" s="166"/>
      <c r="DK150" s="166"/>
      <c r="DL150" s="166"/>
      <c r="DM150" s="166"/>
      <c r="DN150" s="166"/>
      <c r="DO150" s="166"/>
      <c r="DP150" s="166"/>
      <c r="DQ150" s="166"/>
      <c r="DR150" s="166"/>
      <c r="DS150" s="166"/>
      <c r="DT150" s="166"/>
      <c r="DU150" s="166"/>
      <c r="DV150" s="166"/>
      <c r="DW150" s="166"/>
      <c r="DX150" s="166"/>
      <c r="DY150" s="166"/>
      <c r="DZ150" s="166"/>
      <c r="EA150" s="166"/>
      <c r="EB150" s="166"/>
      <c r="EC150" s="166"/>
      <c r="ED150" s="166"/>
      <c r="EE150" s="166"/>
      <c r="EF150" s="166"/>
      <c r="EG150" s="166"/>
      <c r="EH150" s="166"/>
      <c r="EI150" s="166"/>
      <c r="EJ150" s="166"/>
      <c r="EK150" s="166"/>
      <c r="EL150" s="166"/>
      <c r="EM150" s="166"/>
      <c r="EN150" s="166"/>
      <c r="EO150" s="166"/>
      <c r="EP150" s="166"/>
      <c r="EQ150" s="166"/>
      <c r="ER150" s="166"/>
      <c r="ES150" s="166"/>
      <c r="ET150" s="166"/>
      <c r="EU150" s="166"/>
      <c r="EV150" s="166"/>
      <c r="EW150" s="166"/>
      <c r="EX150" s="166"/>
      <c r="EY150" s="166"/>
      <c r="EZ150" s="166"/>
      <c r="FA150" s="166"/>
      <c r="FB150" s="166"/>
      <c r="FC150" s="166"/>
      <c r="FD150" s="166"/>
      <c r="FE150" s="166"/>
      <c r="FF150" s="166"/>
      <c r="FG150" s="166"/>
      <c r="FH150" s="166"/>
      <c r="FI150" s="166"/>
      <c r="FJ150" s="166"/>
      <c r="FK150" s="166"/>
      <c r="FL150" s="166"/>
      <c r="FM150" s="166"/>
      <c r="FN150" s="166"/>
      <c r="FO150" s="166"/>
      <c r="FP150" s="166"/>
      <c r="FQ150" s="166"/>
      <c r="FR150" s="166"/>
      <c r="FS150" s="166"/>
      <c r="FT150" s="166"/>
      <c r="FU150" s="166"/>
      <c r="FV150" s="166"/>
      <c r="FW150" s="166"/>
      <c r="FX150" s="166"/>
      <c r="FY150" s="166"/>
      <c r="FZ150" s="166"/>
      <c r="GA150" s="166"/>
      <c r="GB150" s="166"/>
      <c r="GC150" s="166"/>
      <c r="GD150" s="166"/>
      <c r="GE150" s="166"/>
      <c r="GF150" s="166"/>
      <c r="GG150" s="166"/>
      <c r="GH150" s="166"/>
      <c r="GI150" s="166"/>
      <c r="GJ150" s="166"/>
      <c r="GK150" s="166"/>
      <c r="GL150" s="166"/>
      <c r="GM150" s="166"/>
      <c r="GN150" s="166"/>
      <c r="GO150" s="166"/>
      <c r="GP150" s="166"/>
      <c r="GQ150" s="166"/>
      <c r="GR150" s="166"/>
      <c r="GS150" s="166"/>
      <c r="GT150" s="166"/>
      <c r="GU150" s="166"/>
      <c r="GV150" s="166"/>
      <c r="GW150" s="166"/>
      <c r="GX150" s="166"/>
      <c r="GY150" s="166"/>
      <c r="GZ150" s="166"/>
      <c r="HA150" s="166"/>
      <c r="HB150" s="166"/>
      <c r="HC150" s="166"/>
      <c r="HD150" s="166"/>
      <c r="HE150" s="166"/>
      <c r="HF150" s="166"/>
      <c r="HG150" s="166"/>
      <c r="HH150" s="166"/>
      <c r="HI150" s="166"/>
      <c r="HJ150" s="166"/>
      <c r="HK150" s="166"/>
      <c r="HL150" s="166"/>
      <c r="HM150" s="166"/>
      <c r="HN150" s="166"/>
      <c r="HO150" s="166"/>
      <c r="HP150" s="166"/>
      <c r="HQ150" s="166"/>
      <c r="HR150" s="166"/>
      <c r="HS150" s="166"/>
      <c r="HT150" s="166"/>
      <c r="HU150" s="166"/>
      <c r="HV150" s="166"/>
      <c r="HW150" s="166"/>
      <c r="HX150" s="166"/>
      <c r="HY150" s="166"/>
      <c r="HZ150" s="166"/>
      <c r="IA150" s="166"/>
      <c r="IB150" s="166"/>
      <c r="IC150" s="166"/>
      <c r="ID150" s="166"/>
      <c r="IE150" s="166"/>
      <c r="IF150" s="166"/>
      <c r="IG150" s="166"/>
      <c r="IH150" s="166"/>
      <c r="II150" s="166"/>
      <c r="IJ150" s="166"/>
      <c r="IK150" s="166"/>
      <c r="IL150" s="166"/>
      <c r="IM150" s="166"/>
      <c r="IN150" s="166"/>
      <c r="IO150" s="166"/>
      <c r="IP150" s="166"/>
      <c r="IQ150" s="166"/>
      <c r="IR150" s="166"/>
      <c r="IS150" s="166"/>
      <c r="IT150" s="166"/>
      <c r="IU150" s="166"/>
      <c r="IV150" s="166"/>
    </row>
    <row r="151" spans="1:20" ht="12.75">
      <c r="A151" s="274"/>
      <c r="B151" s="274"/>
      <c r="C151" s="274"/>
      <c r="D151" s="274"/>
      <c r="E151" s="274"/>
      <c r="F151" s="274"/>
      <c r="G151" s="274"/>
      <c r="H151" s="274"/>
      <c r="I151" s="274"/>
      <c r="J151" s="274"/>
      <c r="K151" s="26"/>
      <c r="L151" s="5"/>
      <c r="M151" s="5"/>
      <c r="N151" s="5"/>
      <c r="S151" s="394"/>
      <c r="T151" s="387"/>
    </row>
    <row r="152" spans="1:20" ht="23.25" customHeight="1">
      <c r="A152" s="711" t="s">
        <v>177</v>
      </c>
      <c r="B152" s="711"/>
      <c r="C152" s="711"/>
      <c r="D152" s="711"/>
      <c r="E152" s="711"/>
      <c r="F152" s="711"/>
      <c r="G152" s="711"/>
      <c r="H152" s="711"/>
      <c r="I152" s="711"/>
      <c r="J152" s="711"/>
      <c r="K152" s="26"/>
      <c r="L152" s="26"/>
      <c r="M152" s="26"/>
      <c r="N152" s="26"/>
      <c r="O152" s="13"/>
      <c r="P152" s="13"/>
      <c r="Q152" s="13"/>
      <c r="R152" s="13"/>
      <c r="S152" s="595"/>
      <c r="T152" s="596"/>
    </row>
    <row r="153" spans="1:20" ht="16.5" customHeight="1">
      <c r="A153" s="711" t="s">
        <v>166</v>
      </c>
      <c r="B153" s="711"/>
      <c r="C153" s="711"/>
      <c r="D153" s="711"/>
      <c r="E153" s="711"/>
      <c r="F153" s="711"/>
      <c r="G153" s="711"/>
      <c r="H153" s="711"/>
      <c r="I153" s="711"/>
      <c r="J153" s="711"/>
      <c r="K153" s="26"/>
      <c r="L153" s="706" t="s">
        <v>496</v>
      </c>
      <c r="M153" s="706"/>
      <c r="N153" s="12"/>
      <c r="O153" s="13"/>
      <c r="P153" s="13"/>
      <c r="Q153" s="13"/>
      <c r="R153" s="13"/>
      <c r="S153" s="595"/>
      <c r="T153" s="596"/>
    </row>
    <row r="154" spans="1:256" ht="18.75" customHeight="1">
      <c r="A154" s="634" t="s">
        <v>515</v>
      </c>
      <c r="B154" s="634"/>
      <c r="C154" s="634"/>
      <c r="D154" s="634"/>
      <c r="E154" s="634"/>
      <c r="F154" s="634"/>
      <c r="G154" s="634"/>
      <c r="H154" s="634"/>
      <c r="I154" s="634"/>
      <c r="J154" s="634"/>
      <c r="K154" s="26"/>
      <c r="L154" s="597"/>
      <c r="M154" s="597"/>
      <c r="N154" s="598" t="s">
        <v>167</v>
      </c>
      <c r="O154" s="597"/>
      <c r="P154" s="597"/>
      <c r="Q154" s="597"/>
      <c r="R154" s="597"/>
      <c r="S154" s="595"/>
      <c r="T154" s="596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  <c r="BG154" s="168"/>
      <c r="BH154" s="168"/>
      <c r="BI154" s="168"/>
      <c r="BJ154" s="168"/>
      <c r="BK154" s="168"/>
      <c r="BL154" s="168"/>
      <c r="BM154" s="168"/>
      <c r="BN154" s="168"/>
      <c r="BO154" s="168"/>
      <c r="BP154" s="168"/>
      <c r="BQ154" s="168"/>
      <c r="BR154" s="168"/>
      <c r="BS154" s="168"/>
      <c r="BT154" s="168"/>
      <c r="BU154" s="168"/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8"/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8"/>
      <c r="CU154" s="168"/>
      <c r="CV154" s="168"/>
      <c r="CW154" s="168"/>
      <c r="CX154" s="168"/>
      <c r="CY154" s="168"/>
      <c r="CZ154" s="168"/>
      <c r="DA154" s="168"/>
      <c r="DB154" s="168"/>
      <c r="DC154" s="168"/>
      <c r="DD154" s="168"/>
      <c r="DE154" s="168"/>
      <c r="DF154" s="168"/>
      <c r="DG154" s="168"/>
      <c r="DH154" s="168"/>
      <c r="DI154" s="168"/>
      <c r="DJ154" s="168"/>
      <c r="DK154" s="168"/>
      <c r="DL154" s="168"/>
      <c r="DM154" s="168"/>
      <c r="DN154" s="168"/>
      <c r="DO154" s="168"/>
      <c r="DP154" s="168"/>
      <c r="DQ154" s="168"/>
      <c r="DR154" s="168"/>
      <c r="DS154" s="168"/>
      <c r="DT154" s="168"/>
      <c r="DU154" s="168"/>
      <c r="DV154" s="168"/>
      <c r="DW154" s="168"/>
      <c r="DX154" s="168"/>
      <c r="DY154" s="168"/>
      <c r="DZ154" s="168"/>
      <c r="EA154" s="168"/>
      <c r="EB154" s="168"/>
      <c r="EC154" s="168"/>
      <c r="ED154" s="168"/>
      <c r="EE154" s="168"/>
      <c r="EF154" s="168"/>
      <c r="EG154" s="168"/>
      <c r="EH154" s="168"/>
      <c r="EI154" s="168"/>
      <c r="EJ154" s="168"/>
      <c r="EK154" s="168"/>
      <c r="EL154" s="168"/>
      <c r="EM154" s="168"/>
      <c r="EN154" s="168"/>
      <c r="EO154" s="168"/>
      <c r="EP154" s="168"/>
      <c r="EQ154" s="168"/>
      <c r="ER154" s="168"/>
      <c r="ES154" s="168"/>
      <c r="ET154" s="168"/>
      <c r="EU154" s="168"/>
      <c r="EV154" s="168"/>
      <c r="EW154" s="168"/>
      <c r="EX154" s="168"/>
      <c r="EY154" s="168"/>
      <c r="EZ154" s="168"/>
      <c r="FA154" s="168"/>
      <c r="FB154" s="168"/>
      <c r="FC154" s="168"/>
      <c r="FD154" s="168"/>
      <c r="FE154" s="168"/>
      <c r="FF154" s="168"/>
      <c r="FG154" s="168"/>
      <c r="FH154" s="168"/>
      <c r="FI154" s="168"/>
      <c r="FJ154" s="168"/>
      <c r="FK154" s="168"/>
      <c r="FL154" s="168"/>
      <c r="FM154" s="168"/>
      <c r="FN154" s="168"/>
      <c r="FO154" s="168"/>
      <c r="FP154" s="168"/>
      <c r="FQ154" s="168"/>
      <c r="FR154" s="168"/>
      <c r="FS154" s="168"/>
      <c r="FT154" s="168"/>
      <c r="FU154" s="168"/>
      <c r="FV154" s="168"/>
      <c r="FW154" s="168"/>
      <c r="FX154" s="168"/>
      <c r="FY154" s="168"/>
      <c r="FZ154" s="168"/>
      <c r="GA154" s="168"/>
      <c r="GB154" s="168"/>
      <c r="GC154" s="168"/>
      <c r="GD154" s="168"/>
      <c r="GE154" s="168"/>
      <c r="GF154" s="168"/>
      <c r="GG154" s="168"/>
      <c r="GH154" s="168"/>
      <c r="GI154" s="168"/>
      <c r="GJ154" s="168"/>
      <c r="GK154" s="168"/>
      <c r="GL154" s="168"/>
      <c r="GM154" s="168"/>
      <c r="GN154" s="168"/>
      <c r="GO154" s="168"/>
      <c r="GP154" s="168"/>
      <c r="GQ154" s="168"/>
      <c r="GR154" s="168"/>
      <c r="GS154" s="168"/>
      <c r="GT154" s="168"/>
      <c r="GU154" s="168"/>
      <c r="GV154" s="168"/>
      <c r="GW154" s="168"/>
      <c r="GX154" s="168"/>
      <c r="GY154" s="168"/>
      <c r="GZ154" s="168"/>
      <c r="HA154" s="168"/>
      <c r="HB154" s="168"/>
      <c r="HC154" s="168"/>
      <c r="HD154" s="168"/>
      <c r="HE154" s="168"/>
      <c r="HF154" s="168"/>
      <c r="HG154" s="168"/>
      <c r="HH154" s="168"/>
      <c r="HI154" s="168"/>
      <c r="HJ154" s="168"/>
      <c r="HK154" s="168"/>
      <c r="HL154" s="168"/>
      <c r="HM154" s="168"/>
      <c r="HN154" s="168"/>
      <c r="HO154" s="168"/>
      <c r="HP154" s="168"/>
      <c r="HQ154" s="168"/>
      <c r="HR154" s="168"/>
      <c r="HS154" s="168"/>
      <c r="HT154" s="168"/>
      <c r="HU154" s="168"/>
      <c r="HV154" s="168"/>
      <c r="HW154" s="168"/>
      <c r="HX154" s="168"/>
      <c r="HY154" s="168"/>
      <c r="HZ154" s="168"/>
      <c r="IA154" s="168"/>
      <c r="IB154" s="168"/>
      <c r="IC154" s="168"/>
      <c r="ID154" s="168"/>
      <c r="IE154" s="168"/>
      <c r="IF154" s="168"/>
      <c r="IG154" s="168"/>
      <c r="IH154" s="168"/>
      <c r="II154" s="168"/>
      <c r="IJ154" s="168"/>
      <c r="IK154" s="168"/>
      <c r="IL154" s="168"/>
      <c r="IM154" s="168"/>
      <c r="IN154" s="168"/>
      <c r="IO154" s="168"/>
      <c r="IP154" s="168"/>
      <c r="IQ154" s="168"/>
      <c r="IR154" s="168"/>
      <c r="IS154" s="168"/>
      <c r="IT154" s="168"/>
      <c r="IU154" s="168"/>
      <c r="IV154" s="168"/>
    </row>
    <row r="155" spans="1:256" ht="12.75">
      <c r="A155" s="621" t="s">
        <v>568</v>
      </c>
      <c r="B155" s="621"/>
      <c r="C155" s="621"/>
      <c r="D155" s="621"/>
      <c r="E155" s="621"/>
      <c r="F155" s="621"/>
      <c r="G155" s="621"/>
      <c r="H155" s="621"/>
      <c r="I155" s="621"/>
      <c r="J155" s="621"/>
      <c r="K155" s="641" t="s">
        <v>168</v>
      </c>
      <c r="L155" s="172" t="s">
        <v>169</v>
      </c>
      <c r="M155" s="599" t="str">
        <f>IF(вывод1="да",_72ч,"")</f>
        <v>В течение одного года пройти обучение по программе повышения квалификации.  
</v>
      </c>
      <c r="N155" s="600" t="s">
        <v>464</v>
      </c>
      <c r="O155" s="597"/>
      <c r="P155" s="597"/>
      <c r="Q155" s="597"/>
      <c r="R155" s="597"/>
      <c r="S155" s="595"/>
      <c r="T155" s="596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8"/>
      <c r="BR155" s="168"/>
      <c r="BS155" s="168"/>
      <c r="BT155" s="168"/>
      <c r="BU155" s="168"/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8"/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8"/>
      <c r="CU155" s="168"/>
      <c r="CV155" s="168"/>
      <c r="CW155" s="168"/>
      <c r="CX155" s="168"/>
      <c r="CY155" s="168"/>
      <c r="CZ155" s="168"/>
      <c r="DA155" s="168"/>
      <c r="DB155" s="168"/>
      <c r="DC155" s="168"/>
      <c r="DD155" s="168"/>
      <c r="DE155" s="168"/>
      <c r="DF155" s="168"/>
      <c r="DG155" s="168"/>
      <c r="DH155" s="168"/>
      <c r="DI155" s="168"/>
      <c r="DJ155" s="168"/>
      <c r="DK155" s="168"/>
      <c r="DL155" s="168"/>
      <c r="DM155" s="168"/>
      <c r="DN155" s="168"/>
      <c r="DO155" s="168"/>
      <c r="DP155" s="168"/>
      <c r="DQ155" s="168"/>
      <c r="DR155" s="168"/>
      <c r="DS155" s="168"/>
      <c r="DT155" s="168"/>
      <c r="DU155" s="168"/>
      <c r="DV155" s="168"/>
      <c r="DW155" s="168"/>
      <c r="DX155" s="168"/>
      <c r="DY155" s="168"/>
      <c r="DZ155" s="168"/>
      <c r="EA155" s="168"/>
      <c r="EB155" s="168"/>
      <c r="EC155" s="168"/>
      <c r="ED155" s="168"/>
      <c r="EE155" s="168"/>
      <c r="EF155" s="168"/>
      <c r="EG155" s="168"/>
      <c r="EH155" s="168"/>
      <c r="EI155" s="168"/>
      <c r="EJ155" s="168"/>
      <c r="EK155" s="168"/>
      <c r="EL155" s="168"/>
      <c r="EM155" s="168"/>
      <c r="EN155" s="168"/>
      <c r="EO155" s="168"/>
      <c r="EP155" s="168"/>
      <c r="EQ155" s="168"/>
      <c r="ER155" s="168"/>
      <c r="ES155" s="168"/>
      <c r="ET155" s="168"/>
      <c r="EU155" s="168"/>
      <c r="EV155" s="168"/>
      <c r="EW155" s="168"/>
      <c r="EX155" s="168"/>
      <c r="EY155" s="168"/>
      <c r="EZ155" s="168"/>
      <c r="FA155" s="168"/>
      <c r="FB155" s="168"/>
      <c r="FC155" s="168"/>
      <c r="FD155" s="168"/>
      <c r="FE155" s="168"/>
      <c r="FF155" s="168"/>
      <c r="FG155" s="168"/>
      <c r="FH155" s="168"/>
      <c r="FI155" s="168"/>
      <c r="FJ155" s="168"/>
      <c r="FK155" s="168"/>
      <c r="FL155" s="168"/>
      <c r="FM155" s="168"/>
      <c r="FN155" s="168"/>
      <c r="FO155" s="168"/>
      <c r="FP155" s="168"/>
      <c r="FQ155" s="168"/>
      <c r="FR155" s="168"/>
      <c r="FS155" s="168"/>
      <c r="FT155" s="168"/>
      <c r="FU155" s="168"/>
      <c r="FV155" s="168"/>
      <c r="FW155" s="168"/>
      <c r="FX155" s="168"/>
      <c r="FY155" s="168"/>
      <c r="FZ155" s="168"/>
      <c r="GA155" s="168"/>
      <c r="GB155" s="168"/>
      <c r="GC155" s="168"/>
      <c r="GD155" s="168"/>
      <c r="GE155" s="168"/>
      <c r="GF155" s="168"/>
      <c r="GG155" s="168"/>
      <c r="GH155" s="168"/>
      <c r="GI155" s="168"/>
      <c r="GJ155" s="168"/>
      <c r="GK155" s="168"/>
      <c r="GL155" s="168"/>
      <c r="GM155" s="168"/>
      <c r="GN155" s="168"/>
      <c r="GO155" s="168"/>
      <c r="GP155" s="168"/>
      <c r="GQ155" s="168"/>
      <c r="GR155" s="168"/>
      <c r="GS155" s="168"/>
      <c r="GT155" s="168"/>
      <c r="GU155" s="168"/>
      <c r="GV155" s="168"/>
      <c r="GW155" s="168"/>
      <c r="GX155" s="168"/>
      <c r="GY155" s="168"/>
      <c r="GZ155" s="168"/>
      <c r="HA155" s="168"/>
      <c r="HB155" s="168"/>
      <c r="HC155" s="168"/>
      <c r="HD155" s="168"/>
      <c r="HE155" s="168"/>
      <c r="HF155" s="168"/>
      <c r="HG155" s="168"/>
      <c r="HH155" s="168"/>
      <c r="HI155" s="168"/>
      <c r="HJ155" s="168"/>
      <c r="HK155" s="168"/>
      <c r="HL155" s="168"/>
      <c r="HM155" s="168"/>
      <c r="HN155" s="168"/>
      <c r="HO155" s="168"/>
      <c r="HP155" s="168"/>
      <c r="HQ155" s="168"/>
      <c r="HR155" s="168"/>
      <c r="HS155" s="168"/>
      <c r="HT155" s="168"/>
      <c r="HU155" s="168"/>
      <c r="HV155" s="168"/>
      <c r="HW155" s="168"/>
      <c r="HX155" s="168"/>
      <c r="HY155" s="168"/>
      <c r="HZ155" s="168"/>
      <c r="IA155" s="168"/>
      <c r="IB155" s="168"/>
      <c r="IC155" s="168"/>
      <c r="ID155" s="168"/>
      <c r="IE155" s="168"/>
      <c r="IF155" s="168"/>
      <c r="IG155" s="168"/>
      <c r="IH155" s="168"/>
      <c r="II155" s="168"/>
      <c r="IJ155" s="168"/>
      <c r="IK155" s="168"/>
      <c r="IL155" s="168"/>
      <c r="IM155" s="168"/>
      <c r="IN155" s="168"/>
      <c r="IO155" s="168"/>
      <c r="IP155" s="168"/>
      <c r="IQ155" s="168"/>
      <c r="IR155" s="168"/>
      <c r="IS155" s="168"/>
      <c r="IT155" s="168"/>
      <c r="IU155" s="168"/>
      <c r="IV155" s="168"/>
    </row>
    <row r="156" spans="1:256" ht="9" customHeight="1">
      <c r="A156" s="621"/>
      <c r="B156" s="621"/>
      <c r="C156" s="621"/>
      <c r="D156" s="621"/>
      <c r="E156" s="621"/>
      <c r="F156" s="621"/>
      <c r="G156" s="621"/>
      <c r="H156" s="621"/>
      <c r="I156" s="621"/>
      <c r="J156" s="621"/>
      <c r="K156" s="641"/>
      <c r="L156" s="173" t="s">
        <v>170</v>
      </c>
      <c r="M156" s="601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
 Совершенствовать  технику исполнения на музыкальном инструменте. </v>
      </c>
      <c r="N156" s="600" t="s">
        <v>171</v>
      </c>
      <c r="O156" s="597"/>
      <c r="P156" s="597"/>
      <c r="Q156" s="597"/>
      <c r="R156" s="597"/>
      <c r="S156" s="595"/>
      <c r="T156" s="596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8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/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8"/>
      <c r="DH156" s="168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8"/>
      <c r="DU156" s="168"/>
      <c r="DV156" s="168"/>
      <c r="DW156" s="168"/>
      <c r="DX156" s="168"/>
      <c r="DY156" s="168"/>
      <c r="DZ156" s="168"/>
      <c r="EA156" s="168"/>
      <c r="EB156" s="168"/>
      <c r="EC156" s="168"/>
      <c r="ED156" s="168"/>
      <c r="EE156" s="168"/>
      <c r="EF156" s="168"/>
      <c r="EG156" s="168"/>
      <c r="EH156" s="168"/>
      <c r="EI156" s="168"/>
      <c r="EJ156" s="168"/>
      <c r="EK156" s="168"/>
      <c r="EL156" s="168"/>
      <c r="EM156" s="168"/>
      <c r="EN156" s="168"/>
      <c r="EO156" s="168"/>
      <c r="EP156" s="168"/>
      <c r="EQ156" s="168"/>
      <c r="ER156" s="168"/>
      <c r="ES156" s="168"/>
      <c r="ET156" s="168"/>
      <c r="EU156" s="168"/>
      <c r="EV156" s="168"/>
      <c r="EW156" s="168"/>
      <c r="EX156" s="168"/>
      <c r="EY156" s="168"/>
      <c r="EZ156" s="168"/>
      <c r="FA156" s="168"/>
      <c r="FB156" s="168"/>
      <c r="FC156" s="168"/>
      <c r="FD156" s="168"/>
      <c r="FE156" s="168"/>
      <c r="FF156" s="168"/>
      <c r="FG156" s="168"/>
      <c r="FH156" s="168"/>
      <c r="FI156" s="168"/>
      <c r="FJ156" s="168"/>
      <c r="FK156" s="168"/>
      <c r="FL156" s="168"/>
      <c r="FM156" s="168"/>
      <c r="FN156" s="168"/>
      <c r="FO156" s="168"/>
      <c r="FP156" s="168"/>
      <c r="FQ156" s="168"/>
      <c r="FR156" s="168"/>
      <c r="FS156" s="168"/>
      <c r="FT156" s="168"/>
      <c r="FU156" s="168"/>
      <c r="FV156" s="168"/>
      <c r="FW156" s="168"/>
      <c r="FX156" s="168"/>
      <c r="FY156" s="168"/>
      <c r="FZ156" s="168"/>
      <c r="GA156" s="168"/>
      <c r="GB156" s="168"/>
      <c r="GC156" s="168"/>
      <c r="GD156" s="168"/>
      <c r="GE156" s="168"/>
      <c r="GF156" s="168"/>
      <c r="GG156" s="168"/>
      <c r="GH156" s="168"/>
      <c r="GI156" s="168"/>
      <c r="GJ156" s="168"/>
      <c r="GK156" s="168"/>
      <c r="GL156" s="168"/>
      <c r="GM156" s="168"/>
      <c r="GN156" s="168"/>
      <c r="GO156" s="168"/>
      <c r="GP156" s="168"/>
      <c r="GQ156" s="168"/>
      <c r="GR156" s="168"/>
      <c r="GS156" s="168"/>
      <c r="GT156" s="168"/>
      <c r="GU156" s="168"/>
      <c r="GV156" s="168"/>
      <c r="GW156" s="168"/>
      <c r="GX156" s="168"/>
      <c r="GY156" s="168"/>
      <c r="GZ156" s="168"/>
      <c r="HA156" s="168"/>
      <c r="HB156" s="168"/>
      <c r="HC156" s="168"/>
      <c r="HD156" s="168"/>
      <c r="HE156" s="168"/>
      <c r="HF156" s="168"/>
      <c r="HG156" s="168"/>
      <c r="HH156" s="168"/>
      <c r="HI156" s="168"/>
      <c r="HJ156" s="168"/>
      <c r="HK156" s="168"/>
      <c r="HL156" s="168"/>
      <c r="HM156" s="168"/>
      <c r="HN156" s="168"/>
      <c r="HO156" s="168"/>
      <c r="HP156" s="168"/>
      <c r="HQ156" s="168"/>
      <c r="HR156" s="168"/>
      <c r="HS156" s="168"/>
      <c r="HT156" s="168"/>
      <c r="HU156" s="168"/>
      <c r="HV156" s="168"/>
      <c r="HW156" s="168"/>
      <c r="HX156" s="168"/>
      <c r="HY156" s="168"/>
      <c r="HZ156" s="168"/>
      <c r="IA156" s="168"/>
      <c r="IB156" s="168"/>
      <c r="IC156" s="168"/>
      <c r="ID156" s="168"/>
      <c r="IE156" s="168"/>
      <c r="IF156" s="168"/>
      <c r="IG156" s="168"/>
      <c r="IH156" s="168"/>
      <c r="II156" s="168"/>
      <c r="IJ156" s="168"/>
      <c r="IK156" s="168"/>
      <c r="IL156" s="168"/>
      <c r="IM156" s="168"/>
      <c r="IN156" s="168"/>
      <c r="IO156" s="168"/>
      <c r="IP156" s="168"/>
      <c r="IQ156" s="168"/>
      <c r="IR156" s="168"/>
      <c r="IS156" s="168"/>
      <c r="IT156" s="168"/>
      <c r="IU156" s="168"/>
      <c r="IV156" s="168"/>
    </row>
    <row r="157" spans="1:256" s="13" customFormat="1" ht="4.5" customHeight="1">
      <c r="A157" s="440"/>
      <c r="B157" s="440"/>
      <c r="C157" s="440"/>
      <c r="D157" s="440"/>
      <c r="E157" s="440"/>
      <c r="F157" s="440"/>
      <c r="G157" s="440"/>
      <c r="H157" s="440"/>
      <c r="I157" s="440"/>
      <c r="J157" s="440"/>
      <c r="K157" s="174"/>
      <c r="L157" s="597"/>
      <c r="M157" s="602"/>
      <c r="N157" s="603"/>
      <c r="O157" s="597"/>
      <c r="P157" s="597"/>
      <c r="Q157" s="597"/>
      <c r="R157" s="597"/>
      <c r="S157" s="595"/>
      <c r="T157" s="596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  <c r="BG157" s="168"/>
      <c r="BH157" s="168"/>
      <c r="BI157" s="168"/>
      <c r="BJ157" s="168"/>
      <c r="BK157" s="168"/>
      <c r="BL157" s="168"/>
      <c r="BM157" s="168"/>
      <c r="BN157" s="168"/>
      <c r="BO157" s="168"/>
      <c r="BP157" s="168"/>
      <c r="BQ157" s="168"/>
      <c r="BR157" s="168"/>
      <c r="BS157" s="168"/>
      <c r="BT157" s="168"/>
      <c r="BU157" s="168"/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8"/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8"/>
      <c r="CU157" s="168"/>
      <c r="CV157" s="168"/>
      <c r="CW157" s="168"/>
      <c r="CX157" s="168"/>
      <c r="CY157" s="168"/>
      <c r="CZ157" s="168"/>
      <c r="DA157" s="168"/>
      <c r="DB157" s="168"/>
      <c r="DC157" s="168"/>
      <c r="DD157" s="168"/>
      <c r="DE157" s="168"/>
      <c r="DF157" s="168"/>
      <c r="DG157" s="168"/>
      <c r="DH157" s="168"/>
      <c r="DI157" s="168"/>
      <c r="DJ157" s="168"/>
      <c r="DK157" s="168"/>
      <c r="DL157" s="168"/>
      <c r="DM157" s="168"/>
      <c r="DN157" s="168"/>
      <c r="DO157" s="168"/>
      <c r="DP157" s="168"/>
      <c r="DQ157" s="168"/>
      <c r="DR157" s="168"/>
      <c r="DS157" s="168"/>
      <c r="DT157" s="168"/>
      <c r="DU157" s="168"/>
      <c r="DV157" s="168"/>
      <c r="DW157" s="168"/>
      <c r="DX157" s="168"/>
      <c r="DY157" s="168"/>
      <c r="DZ157" s="168"/>
      <c r="EA157" s="168"/>
      <c r="EB157" s="168"/>
      <c r="EC157" s="168"/>
      <c r="ED157" s="168"/>
      <c r="EE157" s="168"/>
      <c r="EF157" s="168"/>
      <c r="EG157" s="168"/>
      <c r="EH157" s="168"/>
      <c r="EI157" s="168"/>
      <c r="EJ157" s="168"/>
      <c r="EK157" s="168"/>
      <c r="EL157" s="168"/>
      <c r="EM157" s="168"/>
      <c r="EN157" s="168"/>
      <c r="EO157" s="168"/>
      <c r="EP157" s="168"/>
      <c r="EQ157" s="168"/>
      <c r="ER157" s="168"/>
      <c r="ES157" s="168"/>
      <c r="ET157" s="168"/>
      <c r="EU157" s="168"/>
      <c r="EV157" s="168"/>
      <c r="EW157" s="168"/>
      <c r="EX157" s="168"/>
      <c r="EY157" s="168"/>
      <c r="EZ157" s="168"/>
      <c r="FA157" s="168"/>
      <c r="FB157" s="168"/>
      <c r="FC157" s="168"/>
      <c r="FD157" s="168"/>
      <c r="FE157" s="168"/>
      <c r="FF157" s="168"/>
      <c r="FG157" s="168"/>
      <c r="FH157" s="168"/>
      <c r="FI157" s="168"/>
      <c r="FJ157" s="168"/>
      <c r="FK157" s="168"/>
      <c r="FL157" s="168"/>
      <c r="FM157" s="168"/>
      <c r="FN157" s="168"/>
      <c r="FO157" s="168"/>
      <c r="FP157" s="168"/>
      <c r="FQ157" s="168"/>
      <c r="FR157" s="168"/>
      <c r="FS157" s="168"/>
      <c r="FT157" s="168"/>
      <c r="FU157" s="168"/>
      <c r="FV157" s="168"/>
      <c r="FW157" s="168"/>
      <c r="FX157" s="168"/>
      <c r="FY157" s="168"/>
      <c r="FZ157" s="168"/>
      <c r="GA157" s="168"/>
      <c r="GB157" s="168"/>
      <c r="GC157" s="168"/>
      <c r="GD157" s="168"/>
      <c r="GE157" s="168"/>
      <c r="GF157" s="168"/>
      <c r="GG157" s="168"/>
      <c r="GH157" s="168"/>
      <c r="GI157" s="168"/>
      <c r="GJ157" s="168"/>
      <c r="GK157" s="168"/>
      <c r="GL157" s="168"/>
      <c r="GM157" s="168"/>
      <c r="GN157" s="168"/>
      <c r="GO157" s="168"/>
      <c r="GP157" s="168"/>
      <c r="GQ157" s="168"/>
      <c r="GR157" s="168"/>
      <c r="GS157" s="168"/>
      <c r="GT157" s="168"/>
      <c r="GU157" s="168"/>
      <c r="GV157" s="168"/>
      <c r="GW157" s="168"/>
      <c r="GX157" s="168"/>
      <c r="GY157" s="168"/>
      <c r="GZ157" s="168"/>
      <c r="HA157" s="168"/>
      <c r="HB157" s="168"/>
      <c r="HC157" s="168"/>
      <c r="HD157" s="168"/>
      <c r="HE157" s="168"/>
      <c r="HF157" s="168"/>
      <c r="HG157" s="168"/>
      <c r="HH157" s="168"/>
      <c r="HI157" s="168"/>
      <c r="HJ157" s="168"/>
      <c r="HK157" s="168"/>
      <c r="HL157" s="168"/>
      <c r="HM157" s="168"/>
      <c r="HN157" s="168"/>
      <c r="HO157" s="168"/>
      <c r="HP157" s="168"/>
      <c r="HQ157" s="168"/>
      <c r="HR157" s="168"/>
      <c r="HS157" s="168"/>
      <c r="HT157" s="168"/>
      <c r="HU157" s="168"/>
      <c r="HV157" s="168"/>
      <c r="HW157" s="168"/>
      <c r="HX157" s="168"/>
      <c r="HY157" s="168"/>
      <c r="HZ157" s="168"/>
      <c r="IA157" s="168"/>
      <c r="IB157" s="168"/>
      <c r="IC157" s="168"/>
      <c r="ID157" s="168"/>
      <c r="IE157" s="168"/>
      <c r="IF157" s="168"/>
      <c r="IG157" s="168"/>
      <c r="IH157" s="168"/>
      <c r="II157" s="168"/>
      <c r="IJ157" s="168"/>
      <c r="IK157" s="168"/>
      <c r="IL157" s="168"/>
      <c r="IM157" s="168"/>
      <c r="IN157" s="168"/>
      <c r="IO157" s="168"/>
      <c r="IP157" s="168"/>
      <c r="IQ157" s="168"/>
      <c r="IR157" s="168"/>
      <c r="IS157" s="168"/>
      <c r="IT157" s="168"/>
      <c r="IU157" s="168"/>
      <c r="IV157" s="168"/>
    </row>
    <row r="158" spans="1:256" ht="12.75" customHeight="1">
      <c r="A158" s="642" t="str">
        <f>O171</f>
        <v>2) если у педагога нет высшего или среднего педагогического образования</v>
      </c>
      <c r="B158" s="636"/>
      <c r="C158" s="636"/>
      <c r="D158" s="636"/>
      <c r="E158" s="636"/>
      <c r="F158" s="636"/>
      <c r="G158" s="636"/>
      <c r="H158" s="636"/>
      <c r="I158" s="636"/>
      <c r="J158" s="636"/>
      <c r="K158" s="175"/>
      <c r="L158" s="618"/>
      <c r="M158" s="618"/>
      <c r="N158" s="618"/>
      <c r="O158" s="597"/>
      <c r="P158" s="597"/>
      <c r="Q158" s="597"/>
      <c r="R158" s="597"/>
      <c r="S158" s="595"/>
      <c r="T158" s="596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  <c r="DL158" s="168"/>
      <c r="DM158" s="168"/>
      <c r="DN158" s="168"/>
      <c r="DO158" s="168"/>
      <c r="DP158" s="168"/>
      <c r="DQ158" s="168"/>
      <c r="DR158" s="168"/>
      <c r="DS158" s="168"/>
      <c r="DT158" s="168"/>
      <c r="DU158" s="168"/>
      <c r="DV158" s="168"/>
      <c r="DW158" s="168"/>
      <c r="DX158" s="168"/>
      <c r="DY158" s="168"/>
      <c r="DZ158" s="168"/>
      <c r="EA158" s="168"/>
      <c r="EB158" s="168"/>
      <c r="EC158" s="168"/>
      <c r="ED158" s="168"/>
      <c r="EE158" s="168"/>
      <c r="EF158" s="168"/>
      <c r="EG158" s="168"/>
      <c r="EH158" s="168"/>
      <c r="EI158" s="168"/>
      <c r="EJ158" s="168"/>
      <c r="EK158" s="168"/>
      <c r="EL158" s="168"/>
      <c r="EM158" s="168"/>
      <c r="EN158" s="168"/>
      <c r="EO158" s="168"/>
      <c r="EP158" s="168"/>
      <c r="EQ158" s="168"/>
      <c r="ER158" s="168"/>
      <c r="ES158" s="168"/>
      <c r="ET158" s="168"/>
      <c r="EU158" s="168"/>
      <c r="EV158" s="168"/>
      <c r="EW158" s="168"/>
      <c r="EX158" s="168"/>
      <c r="EY158" s="168"/>
      <c r="EZ158" s="168"/>
      <c r="FA158" s="168"/>
      <c r="FB158" s="168"/>
      <c r="FC158" s="168"/>
      <c r="FD158" s="168"/>
      <c r="FE158" s="168"/>
      <c r="FF158" s="168"/>
      <c r="FG158" s="168"/>
      <c r="FH158" s="168"/>
      <c r="FI158" s="168"/>
      <c r="FJ158" s="168"/>
      <c r="FK158" s="168"/>
      <c r="FL158" s="168"/>
      <c r="FM158" s="168"/>
      <c r="FN158" s="168"/>
      <c r="FO158" s="168"/>
      <c r="FP158" s="168"/>
      <c r="FQ158" s="168"/>
      <c r="FR158" s="168"/>
      <c r="FS158" s="168"/>
      <c r="FT158" s="168"/>
      <c r="FU158" s="168"/>
      <c r="FV158" s="168"/>
      <c r="FW158" s="168"/>
      <c r="FX158" s="168"/>
      <c r="FY158" s="168"/>
      <c r="FZ158" s="168"/>
      <c r="GA158" s="168"/>
      <c r="GB158" s="168"/>
      <c r="GC158" s="168"/>
      <c r="GD158" s="168"/>
      <c r="GE158" s="168"/>
      <c r="GF158" s="168"/>
      <c r="GG158" s="168"/>
      <c r="GH158" s="168"/>
      <c r="GI158" s="168"/>
      <c r="GJ158" s="168"/>
      <c r="GK158" s="168"/>
      <c r="GL158" s="168"/>
      <c r="GM158" s="168"/>
      <c r="GN158" s="168"/>
      <c r="GO158" s="168"/>
      <c r="GP158" s="168"/>
      <c r="GQ158" s="168"/>
      <c r="GR158" s="168"/>
      <c r="GS158" s="168"/>
      <c r="GT158" s="168"/>
      <c r="GU158" s="168"/>
      <c r="GV158" s="168"/>
      <c r="GW158" s="168"/>
      <c r="GX158" s="168"/>
      <c r="GY158" s="168"/>
      <c r="GZ158" s="168"/>
      <c r="HA158" s="168"/>
      <c r="HB158" s="168"/>
      <c r="HC158" s="168"/>
      <c r="HD158" s="168"/>
      <c r="HE158" s="168"/>
      <c r="HF158" s="168"/>
      <c r="HG158" s="168"/>
      <c r="HH158" s="168"/>
      <c r="HI158" s="168"/>
      <c r="HJ158" s="168"/>
      <c r="HK158" s="168"/>
      <c r="HL158" s="168"/>
      <c r="HM158" s="168"/>
      <c r="HN158" s="168"/>
      <c r="HO158" s="168"/>
      <c r="HP158" s="168"/>
      <c r="HQ158" s="168"/>
      <c r="HR158" s="168"/>
      <c r="HS158" s="168"/>
      <c r="HT158" s="168"/>
      <c r="HU158" s="168"/>
      <c r="HV158" s="168"/>
      <c r="HW158" s="168"/>
      <c r="HX158" s="168"/>
      <c r="HY158" s="168"/>
      <c r="HZ158" s="168"/>
      <c r="IA158" s="168"/>
      <c r="IB158" s="168"/>
      <c r="IC158" s="168"/>
      <c r="ID158" s="168"/>
      <c r="IE158" s="168"/>
      <c r="IF158" s="168"/>
      <c r="IG158" s="168"/>
      <c r="IH158" s="168"/>
      <c r="II158" s="168"/>
      <c r="IJ158" s="168"/>
      <c r="IK158" s="168"/>
      <c r="IL158" s="168"/>
      <c r="IM158" s="168"/>
      <c r="IN158" s="168"/>
      <c r="IO158" s="168"/>
      <c r="IP158" s="168"/>
      <c r="IQ158" s="168"/>
      <c r="IR158" s="168"/>
      <c r="IS158" s="168"/>
      <c r="IT158" s="168"/>
      <c r="IU158" s="168"/>
      <c r="IV158" s="168"/>
    </row>
    <row r="159" spans="1:256" ht="12.75" customHeight="1" hidden="1">
      <c r="A159" s="636"/>
      <c r="B159" s="636"/>
      <c r="C159" s="636"/>
      <c r="D159" s="636"/>
      <c r="E159" s="636"/>
      <c r="F159" s="636"/>
      <c r="G159" s="636"/>
      <c r="H159" s="636"/>
      <c r="I159" s="636"/>
      <c r="J159" s="636"/>
      <c r="K159" s="175"/>
      <c r="L159" s="618"/>
      <c r="M159" s="618"/>
      <c r="N159" s="618"/>
      <c r="O159" s="597"/>
      <c r="P159" s="597"/>
      <c r="Q159" s="597"/>
      <c r="R159" s="597"/>
      <c r="S159" s="595"/>
      <c r="T159" s="596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  <c r="BG159" s="168"/>
      <c r="BH159" s="168"/>
      <c r="BI159" s="168"/>
      <c r="BJ159" s="168"/>
      <c r="BK159" s="168"/>
      <c r="BL159" s="168"/>
      <c r="BM159" s="168"/>
      <c r="BN159" s="168"/>
      <c r="BO159" s="168"/>
      <c r="BP159" s="168"/>
      <c r="BQ159" s="168"/>
      <c r="BR159" s="168"/>
      <c r="BS159" s="168"/>
      <c r="BT159" s="168"/>
      <c r="BU159" s="168"/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8"/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8"/>
      <c r="CU159" s="168"/>
      <c r="CV159" s="168"/>
      <c r="CW159" s="168"/>
      <c r="CX159" s="168"/>
      <c r="CY159" s="168"/>
      <c r="CZ159" s="168"/>
      <c r="DA159" s="168"/>
      <c r="DB159" s="168"/>
      <c r="DC159" s="168"/>
      <c r="DD159" s="168"/>
      <c r="DE159" s="168"/>
      <c r="DF159" s="168"/>
      <c r="DG159" s="168"/>
      <c r="DH159" s="168"/>
      <c r="DI159" s="168"/>
      <c r="DJ159" s="168"/>
      <c r="DK159" s="168"/>
      <c r="DL159" s="168"/>
      <c r="DM159" s="168"/>
      <c r="DN159" s="168"/>
      <c r="DO159" s="168"/>
      <c r="DP159" s="168"/>
      <c r="DQ159" s="168"/>
      <c r="DR159" s="168"/>
      <c r="DS159" s="168"/>
      <c r="DT159" s="168"/>
      <c r="DU159" s="168"/>
      <c r="DV159" s="168"/>
      <c r="DW159" s="168"/>
      <c r="DX159" s="168"/>
      <c r="DY159" s="168"/>
      <c r="DZ159" s="168"/>
      <c r="EA159" s="168"/>
      <c r="EB159" s="168"/>
      <c r="EC159" s="168"/>
      <c r="ED159" s="168"/>
      <c r="EE159" s="168"/>
      <c r="EF159" s="168"/>
      <c r="EG159" s="168"/>
      <c r="EH159" s="168"/>
      <c r="EI159" s="168"/>
      <c r="EJ159" s="168"/>
      <c r="EK159" s="168"/>
      <c r="EL159" s="168"/>
      <c r="EM159" s="168"/>
      <c r="EN159" s="168"/>
      <c r="EO159" s="168"/>
      <c r="EP159" s="168"/>
      <c r="EQ159" s="168"/>
      <c r="ER159" s="168"/>
      <c r="ES159" s="168"/>
      <c r="ET159" s="168"/>
      <c r="EU159" s="168"/>
      <c r="EV159" s="168"/>
      <c r="EW159" s="168"/>
      <c r="EX159" s="168"/>
      <c r="EY159" s="168"/>
      <c r="EZ159" s="168"/>
      <c r="FA159" s="168"/>
      <c r="FB159" s="168"/>
      <c r="FC159" s="168"/>
      <c r="FD159" s="168"/>
      <c r="FE159" s="168"/>
      <c r="FF159" s="168"/>
      <c r="FG159" s="168"/>
      <c r="FH159" s="168"/>
      <c r="FI159" s="168"/>
      <c r="FJ159" s="168"/>
      <c r="FK159" s="168"/>
      <c r="FL159" s="168"/>
      <c r="FM159" s="168"/>
      <c r="FN159" s="168"/>
      <c r="FO159" s="168"/>
      <c r="FP159" s="168"/>
      <c r="FQ159" s="168"/>
      <c r="FR159" s="168"/>
      <c r="FS159" s="168"/>
      <c r="FT159" s="168"/>
      <c r="FU159" s="168"/>
      <c r="FV159" s="168"/>
      <c r="FW159" s="168"/>
      <c r="FX159" s="168"/>
      <c r="FY159" s="168"/>
      <c r="FZ159" s="168"/>
      <c r="GA159" s="168"/>
      <c r="GB159" s="168"/>
      <c r="GC159" s="168"/>
      <c r="GD159" s="168"/>
      <c r="GE159" s="168"/>
      <c r="GF159" s="168"/>
      <c r="GG159" s="168"/>
      <c r="GH159" s="168"/>
      <c r="GI159" s="168"/>
      <c r="GJ159" s="168"/>
      <c r="GK159" s="168"/>
      <c r="GL159" s="168"/>
      <c r="GM159" s="168"/>
      <c r="GN159" s="168"/>
      <c r="GO159" s="168"/>
      <c r="GP159" s="168"/>
      <c r="GQ159" s="168"/>
      <c r="GR159" s="168"/>
      <c r="GS159" s="168"/>
      <c r="GT159" s="168"/>
      <c r="GU159" s="168"/>
      <c r="GV159" s="168"/>
      <c r="GW159" s="168"/>
      <c r="GX159" s="168"/>
      <c r="GY159" s="168"/>
      <c r="GZ159" s="168"/>
      <c r="HA159" s="168"/>
      <c r="HB159" s="168"/>
      <c r="HC159" s="168"/>
      <c r="HD159" s="168"/>
      <c r="HE159" s="168"/>
      <c r="HF159" s="168"/>
      <c r="HG159" s="168"/>
      <c r="HH159" s="168"/>
      <c r="HI159" s="168"/>
      <c r="HJ159" s="168"/>
      <c r="HK159" s="168"/>
      <c r="HL159" s="168"/>
      <c r="HM159" s="168"/>
      <c r="HN159" s="168"/>
      <c r="HO159" s="168"/>
      <c r="HP159" s="168"/>
      <c r="HQ159" s="168"/>
      <c r="HR159" s="168"/>
      <c r="HS159" s="168"/>
      <c r="HT159" s="168"/>
      <c r="HU159" s="168"/>
      <c r="HV159" s="168"/>
      <c r="HW159" s="168"/>
      <c r="HX159" s="168"/>
      <c r="HY159" s="168"/>
      <c r="HZ159" s="168"/>
      <c r="IA159" s="168"/>
      <c r="IB159" s="168"/>
      <c r="IC159" s="168"/>
      <c r="ID159" s="168"/>
      <c r="IE159" s="168"/>
      <c r="IF159" s="168"/>
      <c r="IG159" s="168"/>
      <c r="IH159" s="168"/>
      <c r="II159" s="168"/>
      <c r="IJ159" s="168"/>
      <c r="IK159" s="168"/>
      <c r="IL159" s="168"/>
      <c r="IM159" s="168"/>
      <c r="IN159" s="168"/>
      <c r="IO159" s="168"/>
      <c r="IP159" s="168"/>
      <c r="IQ159" s="168"/>
      <c r="IR159" s="168"/>
      <c r="IS159" s="168"/>
      <c r="IT159" s="168"/>
      <c r="IU159" s="168"/>
      <c r="IV159" s="168"/>
    </row>
    <row r="160" spans="1:256" ht="12.75" customHeight="1" hidden="1">
      <c r="A160" s="636"/>
      <c r="B160" s="636"/>
      <c r="C160" s="636"/>
      <c r="D160" s="636"/>
      <c r="E160" s="636"/>
      <c r="F160" s="636"/>
      <c r="G160" s="636"/>
      <c r="H160" s="636"/>
      <c r="I160" s="636"/>
      <c r="J160" s="636"/>
      <c r="K160" s="175"/>
      <c r="L160" s="618"/>
      <c r="M160" s="618"/>
      <c r="N160" s="618"/>
      <c r="O160" s="597"/>
      <c r="P160" s="597"/>
      <c r="Q160" s="597"/>
      <c r="R160" s="597"/>
      <c r="S160" s="595"/>
      <c r="T160" s="596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  <c r="BG160" s="168"/>
      <c r="BH160" s="168"/>
      <c r="BI160" s="168"/>
      <c r="BJ160" s="168"/>
      <c r="BK160" s="168"/>
      <c r="BL160" s="168"/>
      <c r="BM160" s="168"/>
      <c r="BN160" s="168"/>
      <c r="BO160" s="168"/>
      <c r="BP160" s="168"/>
      <c r="BQ160" s="168"/>
      <c r="BR160" s="168"/>
      <c r="BS160" s="168"/>
      <c r="BT160" s="168"/>
      <c r="BU160" s="168"/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8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8"/>
      <c r="DH160" s="168"/>
      <c r="DI160" s="168"/>
      <c r="DJ160" s="168"/>
      <c r="DK160" s="168"/>
      <c r="DL160" s="168"/>
      <c r="DM160" s="168"/>
      <c r="DN160" s="168"/>
      <c r="DO160" s="168"/>
      <c r="DP160" s="168"/>
      <c r="DQ160" s="168"/>
      <c r="DR160" s="168"/>
      <c r="DS160" s="168"/>
      <c r="DT160" s="168"/>
      <c r="DU160" s="168"/>
      <c r="DV160" s="168"/>
      <c r="DW160" s="168"/>
      <c r="DX160" s="168"/>
      <c r="DY160" s="168"/>
      <c r="DZ160" s="168"/>
      <c r="EA160" s="168"/>
      <c r="EB160" s="168"/>
      <c r="EC160" s="168"/>
      <c r="ED160" s="168"/>
      <c r="EE160" s="168"/>
      <c r="EF160" s="168"/>
      <c r="EG160" s="168"/>
      <c r="EH160" s="168"/>
      <c r="EI160" s="168"/>
      <c r="EJ160" s="168"/>
      <c r="EK160" s="168"/>
      <c r="EL160" s="168"/>
      <c r="EM160" s="168"/>
      <c r="EN160" s="168"/>
      <c r="EO160" s="168"/>
      <c r="EP160" s="168"/>
      <c r="EQ160" s="168"/>
      <c r="ER160" s="168"/>
      <c r="ES160" s="168"/>
      <c r="ET160" s="168"/>
      <c r="EU160" s="168"/>
      <c r="EV160" s="168"/>
      <c r="EW160" s="168"/>
      <c r="EX160" s="168"/>
      <c r="EY160" s="168"/>
      <c r="EZ160" s="168"/>
      <c r="FA160" s="168"/>
      <c r="FB160" s="168"/>
      <c r="FC160" s="168"/>
      <c r="FD160" s="168"/>
      <c r="FE160" s="168"/>
      <c r="FF160" s="168"/>
      <c r="FG160" s="168"/>
      <c r="FH160" s="168"/>
      <c r="FI160" s="168"/>
      <c r="FJ160" s="168"/>
      <c r="FK160" s="168"/>
      <c r="FL160" s="168"/>
      <c r="FM160" s="168"/>
      <c r="FN160" s="168"/>
      <c r="FO160" s="168"/>
      <c r="FP160" s="168"/>
      <c r="FQ160" s="168"/>
      <c r="FR160" s="168"/>
      <c r="FS160" s="168"/>
      <c r="FT160" s="168"/>
      <c r="FU160" s="168"/>
      <c r="FV160" s="168"/>
      <c r="FW160" s="168"/>
      <c r="FX160" s="168"/>
      <c r="FY160" s="168"/>
      <c r="FZ160" s="168"/>
      <c r="GA160" s="168"/>
      <c r="GB160" s="168"/>
      <c r="GC160" s="168"/>
      <c r="GD160" s="168"/>
      <c r="GE160" s="168"/>
      <c r="GF160" s="168"/>
      <c r="GG160" s="168"/>
      <c r="GH160" s="168"/>
      <c r="GI160" s="168"/>
      <c r="GJ160" s="168"/>
      <c r="GK160" s="168"/>
      <c r="GL160" s="168"/>
      <c r="GM160" s="168"/>
      <c r="GN160" s="168"/>
      <c r="GO160" s="168"/>
      <c r="GP160" s="168"/>
      <c r="GQ160" s="168"/>
      <c r="GR160" s="168"/>
      <c r="GS160" s="168"/>
      <c r="GT160" s="168"/>
      <c r="GU160" s="168"/>
      <c r="GV160" s="168"/>
      <c r="GW160" s="168"/>
      <c r="GX160" s="168"/>
      <c r="GY160" s="168"/>
      <c r="GZ160" s="168"/>
      <c r="HA160" s="168"/>
      <c r="HB160" s="168"/>
      <c r="HC160" s="168"/>
      <c r="HD160" s="168"/>
      <c r="HE160" s="168"/>
      <c r="HF160" s="168"/>
      <c r="HG160" s="168"/>
      <c r="HH160" s="168"/>
      <c r="HI160" s="168"/>
      <c r="HJ160" s="168"/>
      <c r="HK160" s="168"/>
      <c r="HL160" s="168"/>
      <c r="HM160" s="168"/>
      <c r="HN160" s="168"/>
      <c r="HO160" s="168"/>
      <c r="HP160" s="168"/>
      <c r="HQ160" s="168"/>
      <c r="HR160" s="168"/>
      <c r="HS160" s="168"/>
      <c r="HT160" s="168"/>
      <c r="HU160" s="168"/>
      <c r="HV160" s="168"/>
      <c r="HW160" s="168"/>
      <c r="HX160" s="168"/>
      <c r="HY160" s="168"/>
      <c r="HZ160" s="168"/>
      <c r="IA160" s="168"/>
      <c r="IB160" s="168"/>
      <c r="IC160" s="168"/>
      <c r="ID160" s="168"/>
      <c r="IE160" s="168"/>
      <c r="IF160" s="168"/>
      <c r="IG160" s="168"/>
      <c r="IH160" s="168"/>
      <c r="II160" s="168"/>
      <c r="IJ160" s="168"/>
      <c r="IK160" s="168"/>
      <c r="IL160" s="168"/>
      <c r="IM160" s="168"/>
      <c r="IN160" s="168"/>
      <c r="IO160" s="168"/>
      <c r="IP160" s="168"/>
      <c r="IQ160" s="168"/>
      <c r="IR160" s="168"/>
      <c r="IS160" s="168"/>
      <c r="IT160" s="168"/>
      <c r="IU160" s="168"/>
      <c r="IV160" s="168"/>
    </row>
    <row r="161" spans="1:256" ht="6" customHeight="1">
      <c r="A161" s="636"/>
      <c r="B161" s="636"/>
      <c r="C161" s="636"/>
      <c r="D161" s="636"/>
      <c r="E161" s="636"/>
      <c r="F161" s="636"/>
      <c r="G161" s="636"/>
      <c r="H161" s="636"/>
      <c r="I161" s="636"/>
      <c r="J161" s="636"/>
      <c r="K161" s="175"/>
      <c r="L161" s="597"/>
      <c r="M161" s="597"/>
      <c r="N161" s="603"/>
      <c r="O161" s="597"/>
      <c r="P161" s="597"/>
      <c r="Q161" s="597"/>
      <c r="R161" s="597"/>
      <c r="S161" s="595"/>
      <c r="T161" s="596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  <c r="AL161" s="168"/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/>
      <c r="AX161" s="168"/>
      <c r="AY161" s="168"/>
      <c r="AZ161" s="168"/>
      <c r="BA161" s="168"/>
      <c r="BB161" s="168"/>
      <c r="BC161" s="168"/>
      <c r="BD161" s="168"/>
      <c r="BE161" s="168"/>
      <c r="BF161" s="168"/>
      <c r="BG161" s="168"/>
      <c r="BH161" s="168"/>
      <c r="BI161" s="168"/>
      <c r="BJ161" s="168"/>
      <c r="BK161" s="168"/>
      <c r="BL161" s="168"/>
      <c r="BM161" s="168"/>
      <c r="BN161" s="168"/>
      <c r="BO161" s="168"/>
      <c r="BP161" s="168"/>
      <c r="BQ161" s="168"/>
      <c r="BR161" s="168"/>
      <c r="BS161" s="168"/>
      <c r="BT161" s="168"/>
      <c r="BU161" s="168"/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8"/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8"/>
      <c r="CU161" s="168"/>
      <c r="CV161" s="168"/>
      <c r="CW161" s="168"/>
      <c r="CX161" s="168"/>
      <c r="CY161" s="168"/>
      <c r="CZ161" s="168"/>
      <c r="DA161" s="168"/>
      <c r="DB161" s="168"/>
      <c r="DC161" s="168"/>
      <c r="DD161" s="168"/>
      <c r="DE161" s="168"/>
      <c r="DF161" s="168"/>
      <c r="DG161" s="168"/>
      <c r="DH161" s="168"/>
      <c r="DI161" s="168"/>
      <c r="DJ161" s="168"/>
      <c r="DK161" s="168"/>
      <c r="DL161" s="168"/>
      <c r="DM161" s="168"/>
      <c r="DN161" s="168"/>
      <c r="DO161" s="168"/>
      <c r="DP161" s="168"/>
      <c r="DQ161" s="168"/>
      <c r="DR161" s="168"/>
      <c r="DS161" s="168"/>
      <c r="DT161" s="168"/>
      <c r="DU161" s="168"/>
      <c r="DV161" s="168"/>
      <c r="DW161" s="168"/>
      <c r="DX161" s="168"/>
      <c r="DY161" s="168"/>
      <c r="DZ161" s="168"/>
      <c r="EA161" s="168"/>
      <c r="EB161" s="168"/>
      <c r="EC161" s="168"/>
      <c r="ED161" s="168"/>
      <c r="EE161" s="168"/>
      <c r="EF161" s="168"/>
      <c r="EG161" s="168"/>
      <c r="EH161" s="168"/>
      <c r="EI161" s="168"/>
      <c r="EJ161" s="168"/>
      <c r="EK161" s="168"/>
      <c r="EL161" s="168"/>
      <c r="EM161" s="168"/>
      <c r="EN161" s="168"/>
      <c r="EO161" s="168"/>
      <c r="EP161" s="168"/>
      <c r="EQ161" s="168"/>
      <c r="ER161" s="168"/>
      <c r="ES161" s="168"/>
      <c r="ET161" s="168"/>
      <c r="EU161" s="168"/>
      <c r="EV161" s="168"/>
      <c r="EW161" s="168"/>
      <c r="EX161" s="168"/>
      <c r="EY161" s="168"/>
      <c r="EZ161" s="168"/>
      <c r="FA161" s="168"/>
      <c r="FB161" s="168"/>
      <c r="FC161" s="168"/>
      <c r="FD161" s="168"/>
      <c r="FE161" s="168"/>
      <c r="FF161" s="168"/>
      <c r="FG161" s="168"/>
      <c r="FH161" s="168"/>
      <c r="FI161" s="168"/>
      <c r="FJ161" s="168"/>
      <c r="FK161" s="168"/>
      <c r="FL161" s="168"/>
      <c r="FM161" s="168"/>
      <c r="FN161" s="168"/>
      <c r="FO161" s="168"/>
      <c r="FP161" s="168"/>
      <c r="FQ161" s="168"/>
      <c r="FR161" s="168"/>
      <c r="FS161" s="168"/>
      <c r="FT161" s="168"/>
      <c r="FU161" s="168"/>
      <c r="FV161" s="168"/>
      <c r="FW161" s="168"/>
      <c r="FX161" s="168"/>
      <c r="FY161" s="168"/>
      <c r="FZ161" s="168"/>
      <c r="GA161" s="168"/>
      <c r="GB161" s="168"/>
      <c r="GC161" s="168"/>
      <c r="GD161" s="168"/>
      <c r="GE161" s="168"/>
      <c r="GF161" s="168"/>
      <c r="GG161" s="168"/>
      <c r="GH161" s="168"/>
      <c r="GI161" s="168"/>
      <c r="GJ161" s="168"/>
      <c r="GK161" s="168"/>
      <c r="GL161" s="168"/>
      <c r="GM161" s="168"/>
      <c r="GN161" s="168"/>
      <c r="GO161" s="168"/>
      <c r="GP161" s="168"/>
      <c r="GQ161" s="168"/>
      <c r="GR161" s="168"/>
      <c r="GS161" s="168"/>
      <c r="GT161" s="168"/>
      <c r="GU161" s="168"/>
      <c r="GV161" s="168"/>
      <c r="GW161" s="168"/>
      <c r="GX161" s="168"/>
      <c r="GY161" s="168"/>
      <c r="GZ161" s="168"/>
      <c r="HA161" s="168"/>
      <c r="HB161" s="168"/>
      <c r="HC161" s="168"/>
      <c r="HD161" s="168"/>
      <c r="HE161" s="168"/>
      <c r="HF161" s="168"/>
      <c r="HG161" s="168"/>
      <c r="HH161" s="168"/>
      <c r="HI161" s="168"/>
      <c r="HJ161" s="168"/>
      <c r="HK161" s="168"/>
      <c r="HL161" s="168"/>
      <c r="HM161" s="168"/>
      <c r="HN161" s="168"/>
      <c r="HO161" s="168"/>
      <c r="HP161" s="168"/>
      <c r="HQ161" s="168"/>
      <c r="HR161" s="168"/>
      <c r="HS161" s="168"/>
      <c r="HT161" s="168"/>
      <c r="HU161" s="168"/>
      <c r="HV161" s="168"/>
      <c r="HW161" s="168"/>
      <c r="HX161" s="168"/>
      <c r="HY161" s="168"/>
      <c r="HZ161" s="168"/>
      <c r="IA161" s="168"/>
      <c r="IB161" s="168"/>
      <c r="IC161" s="168"/>
      <c r="ID161" s="168"/>
      <c r="IE161" s="168"/>
      <c r="IF161" s="168"/>
      <c r="IG161" s="168"/>
      <c r="IH161" s="168"/>
      <c r="II161" s="168"/>
      <c r="IJ161" s="168"/>
      <c r="IK161" s="168"/>
      <c r="IL161" s="168"/>
      <c r="IM161" s="168"/>
      <c r="IN161" s="168"/>
      <c r="IO161" s="168"/>
      <c r="IP161" s="168"/>
      <c r="IQ161" s="168"/>
      <c r="IR161" s="168"/>
      <c r="IS161" s="168"/>
      <c r="IT161" s="168"/>
      <c r="IU161" s="168"/>
      <c r="IV161" s="168"/>
    </row>
    <row r="162" spans="1:20" ht="18.75" customHeight="1">
      <c r="A162" s="621" t="str">
        <f>N171</f>
        <v>Получить  дополнительное профессиональное образование по направлению подготовки "Образование и педагогика". 
 </v>
      </c>
      <c r="B162" s="621"/>
      <c r="C162" s="621"/>
      <c r="D162" s="621"/>
      <c r="E162" s="621"/>
      <c r="F162" s="621"/>
      <c r="G162" s="621"/>
      <c r="H162" s="621"/>
      <c r="I162" s="621"/>
      <c r="J162" s="621"/>
      <c r="K162" s="622" t="s">
        <v>173</v>
      </c>
      <c r="L162" s="604" t="s">
        <v>174</v>
      </c>
      <c r="M162" s="115" t="s">
        <v>171</v>
      </c>
      <c r="N162" s="12"/>
      <c r="O162" s="13"/>
      <c r="P162" s="13"/>
      <c r="Q162" s="13"/>
      <c r="R162" s="13"/>
      <c r="S162" s="595"/>
      <c r="T162" s="596"/>
    </row>
    <row r="163" spans="1:20" ht="21" customHeight="1">
      <c r="A163" s="634" t="str">
        <f>Q171</f>
        <v>   3) если педагог не достаточно профессионально владеет техникой исполнения на музыкальном инструменте</v>
      </c>
      <c r="B163" s="634" t="s">
        <v>175</v>
      </c>
      <c r="C163" s="634"/>
      <c r="D163" s="634"/>
      <c r="E163" s="634"/>
      <c r="F163" s="634"/>
      <c r="G163" s="634"/>
      <c r="H163" s="634"/>
      <c r="I163" s="634"/>
      <c r="J163" s="634"/>
      <c r="K163" s="622"/>
      <c r="L163" s="605"/>
      <c r="M163" s="11"/>
      <c r="N163" s="12"/>
      <c r="O163" s="13"/>
      <c r="P163" s="13"/>
      <c r="Q163" s="13"/>
      <c r="R163" s="13"/>
      <c r="S163" s="595"/>
      <c r="T163" s="596"/>
    </row>
    <row r="164" spans="1:256" ht="18.75" customHeight="1">
      <c r="A164" s="621" t="str">
        <f>P171</f>
        <v>Совершенствовать  технику исполнения на музыкальном инструменте. </v>
      </c>
      <c r="B164" s="621"/>
      <c r="C164" s="621"/>
      <c r="D164" s="621"/>
      <c r="E164" s="621"/>
      <c r="F164" s="621"/>
      <c r="G164" s="621"/>
      <c r="H164" s="621"/>
      <c r="I164" s="621"/>
      <c r="J164" s="621"/>
      <c r="K164" s="114" t="s">
        <v>176</v>
      </c>
      <c r="L164" s="115"/>
      <c r="M164" s="11"/>
      <c r="N164" s="26"/>
      <c r="O164" s="26"/>
      <c r="P164" s="26"/>
      <c r="Q164" s="26"/>
      <c r="R164" s="26"/>
      <c r="S164" s="595"/>
      <c r="T164" s="596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ht="6.75" customHeight="1">
      <c r="A165" s="162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76"/>
      <c r="M165" s="176"/>
      <c r="N165" s="26"/>
      <c r="O165" s="26"/>
      <c r="P165" s="26"/>
      <c r="Q165" s="26"/>
      <c r="R165" s="26"/>
      <c r="S165" s="595"/>
      <c r="T165" s="596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0" ht="5.2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15"/>
      <c r="M166" s="597"/>
      <c r="N166" s="13"/>
      <c r="O166" s="13"/>
      <c r="P166" s="13"/>
      <c r="Q166" s="13"/>
      <c r="R166" s="13"/>
      <c r="S166" s="595"/>
      <c r="T166" s="596"/>
    </row>
    <row r="167" spans="1:20" ht="16.5" customHeight="1">
      <c r="A167" s="711" t="s">
        <v>514</v>
      </c>
      <c r="B167" s="711"/>
      <c r="C167" s="711"/>
      <c r="D167" s="711"/>
      <c r="E167" s="711"/>
      <c r="F167" s="711"/>
      <c r="G167" s="711"/>
      <c r="H167" s="711"/>
      <c r="I167" s="711"/>
      <c r="J167" s="711"/>
      <c r="K167" s="26" t="s">
        <v>512</v>
      </c>
      <c r="L167" s="13"/>
      <c r="M167" s="13"/>
      <c r="N167" s="13"/>
      <c r="O167" s="13"/>
      <c r="P167" s="13"/>
      <c r="Q167" s="13"/>
      <c r="R167" s="13"/>
      <c r="S167" s="595"/>
      <c r="T167" s="596"/>
    </row>
    <row r="168" spans="1:256" ht="15.75" customHeight="1">
      <c r="A168" s="638" t="s">
        <v>513</v>
      </c>
      <c r="B168" s="638"/>
      <c r="C168" s="638"/>
      <c r="D168" s="638"/>
      <c r="E168" s="638"/>
      <c r="F168" s="638"/>
      <c r="G168" s="638"/>
      <c r="H168" s="638"/>
      <c r="I168" s="638"/>
      <c r="J168" s="638"/>
      <c r="K168" s="159" t="str">
        <f>T2</f>
        <v># 4</v>
      </c>
      <c r="L168" s="13"/>
      <c r="M168" s="13"/>
      <c r="N168" s="13"/>
      <c r="O168" s="13"/>
      <c r="P168" s="13"/>
      <c r="Q168" s="13"/>
      <c r="R168" s="13"/>
      <c r="S168" s="595"/>
      <c r="T168" s="59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0" ht="3" customHeight="1">
      <c r="A169" s="606"/>
      <c r="B169" s="233"/>
      <c r="C169" s="232"/>
      <c r="D169" s="232"/>
      <c r="E169" s="232"/>
      <c r="F169" s="232"/>
      <c r="G169" s="232"/>
      <c r="H169" s="232"/>
      <c r="I169" s="232"/>
      <c r="J169" s="232"/>
      <c r="K169" s="607">
        <v>1</v>
      </c>
      <c r="L169" s="607">
        <v>2</v>
      </c>
      <c r="M169" s="607">
        <v>3</v>
      </c>
      <c r="N169" s="607">
        <v>4</v>
      </c>
      <c r="O169" s="607">
        <v>5</v>
      </c>
      <c r="P169" s="607">
        <v>6</v>
      </c>
      <c r="Q169" s="607">
        <v>7</v>
      </c>
      <c r="R169" s="607">
        <v>8</v>
      </c>
      <c r="S169" s="607">
        <v>9</v>
      </c>
      <c r="T169" s="596"/>
    </row>
    <row r="170" spans="1:20" ht="18" customHeight="1">
      <c r="A170" s="613" t="s">
        <v>590</v>
      </c>
      <c r="B170" s="710" t="s">
        <v>178</v>
      </c>
      <c r="C170" s="710"/>
      <c r="D170" s="710"/>
      <c r="E170" s="710"/>
      <c r="F170" s="710"/>
      <c r="G170" s="710"/>
      <c r="H170" s="710"/>
      <c r="I170" s="710"/>
      <c r="J170" s="710"/>
      <c r="K170" s="13"/>
      <c r="L170" s="608" t="s">
        <v>497</v>
      </c>
      <c r="M170" s="608" t="s">
        <v>498</v>
      </c>
      <c r="N170" s="609" t="s">
        <v>457</v>
      </c>
      <c r="O170" s="218"/>
      <c r="P170" s="609" t="s">
        <v>458</v>
      </c>
      <c r="Q170" s="218"/>
      <c r="R170" s="218"/>
      <c r="S170" s="608" t="s">
        <v>178</v>
      </c>
      <c r="T170" s="596"/>
    </row>
    <row r="171" spans="1:20" ht="53.25" customHeight="1">
      <c r="A171" s="614" t="str">
        <f>R171</f>
        <v>Музыкальный руководитель</v>
      </c>
      <c r="B171" s="709" t="str">
        <f>S171</f>
        <v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v>
      </c>
      <c r="C171" s="709"/>
      <c r="D171" s="709"/>
      <c r="E171" s="709"/>
      <c r="F171" s="709"/>
      <c r="G171" s="709"/>
      <c r="H171" s="709"/>
      <c r="I171" s="709"/>
      <c r="J171" s="709"/>
      <c r="K171" s="467" t="str">
        <f>IF(долж_ОС="учитель","учитель",долж_ОС)</f>
        <v>музыкальный руководитель</v>
      </c>
      <c r="L171" s="459" t="str">
        <f>VLOOKUP($K$171,$K$172:$S$204,L169)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M171" s="459" t="str">
        <f aca="true" t="shared" si="1" ref="M171:S171">VLOOKUP($B$38,$K$172:$S$204,M169)</f>
        <v>Профессиональное владение техникой исполнения на музыкальном инструменте </v>
      </c>
      <c r="N171" s="489" t="str">
        <f t="shared" si="1"/>
        <v>Получить  дополнительное профессиональное образование по направлению подготовки "Образование и педагогика". 
 </v>
      </c>
      <c r="O171" s="610" t="str">
        <f t="shared" si="1"/>
        <v>2) если у педагога нет высшего или среднего педагогического образования</v>
      </c>
      <c r="P171" s="611" t="str">
        <f t="shared" si="1"/>
        <v>Совершенствовать  технику исполнения на музыкальном инструменте. </v>
      </c>
      <c r="Q171" s="612" t="str">
        <f t="shared" si="1"/>
        <v>   3) если педагог не достаточно профессионально владеет техникой исполнения на музыкальном инструменте</v>
      </c>
      <c r="R171" s="459" t="str">
        <f t="shared" si="1"/>
        <v>Музыкальный руководитель</v>
      </c>
      <c r="S171" s="489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v>
      </c>
      <c r="T171" s="596"/>
    </row>
    <row r="172" spans="1:20" ht="12.75">
      <c r="A172" s="712" t="s">
        <v>591</v>
      </c>
      <c r="B172" s="712"/>
      <c r="C172" s="712"/>
      <c r="D172" s="712"/>
      <c r="E172" s="712"/>
      <c r="F172" s="712"/>
      <c r="G172" s="712"/>
      <c r="H172" s="712"/>
      <c r="I172" s="712"/>
      <c r="J172" s="712"/>
      <c r="K172" s="497"/>
      <c r="L172" s="459"/>
      <c r="M172" s="459"/>
      <c r="N172" s="489"/>
      <c r="O172" s="611"/>
      <c r="P172" s="611"/>
      <c r="Q172" s="13"/>
      <c r="R172" s="13"/>
      <c r="S172" s="13"/>
      <c r="T172" s="596"/>
    </row>
    <row r="173" spans="1:19" ht="15">
      <c r="A173" s="494"/>
      <c r="B173" s="232"/>
      <c r="C173" s="232"/>
      <c r="D173" s="232"/>
      <c r="E173" s="232"/>
      <c r="F173" s="232"/>
      <c r="G173" s="232"/>
      <c r="H173" s="232"/>
      <c r="I173" s="232"/>
      <c r="J173" s="232"/>
      <c r="K173" s="589" t="s">
        <v>120</v>
      </c>
      <c r="L173" s="590"/>
      <c r="M173" s="590"/>
      <c r="N173" s="591"/>
      <c r="O173" s="592"/>
      <c r="P173" s="592"/>
      <c r="Q173" s="13"/>
      <c r="R173" s="593"/>
      <c r="S173" s="594"/>
    </row>
    <row r="174" spans="1:19" ht="198">
      <c r="A174" s="232"/>
      <c r="B174" s="232"/>
      <c r="C174" s="232"/>
      <c r="D174" s="232"/>
      <c r="E174" s="232"/>
      <c r="F174" s="232"/>
      <c r="G174" s="232"/>
      <c r="H174" s="232"/>
      <c r="I174" s="232"/>
      <c r="J174" s="232"/>
      <c r="K174" s="496" t="s">
        <v>122</v>
      </c>
      <c r="L174" s="441" t="s">
        <v>43</v>
      </c>
      <c r="M174" s="441" t="s">
        <v>524</v>
      </c>
      <c r="N174" s="383" t="s">
        <v>172</v>
      </c>
      <c r="O174" s="442" t="s">
        <v>520</v>
      </c>
      <c r="P174" s="442"/>
      <c r="Q174" s="13"/>
      <c r="R174" s="449" t="s">
        <v>560</v>
      </c>
      <c r="S174" s="443" t="s">
        <v>519</v>
      </c>
    </row>
    <row r="175" spans="1:19" ht="13.5">
      <c r="A175" s="499"/>
      <c r="B175" s="499"/>
      <c r="C175" s="499"/>
      <c r="D175" s="499"/>
      <c r="E175" s="499"/>
      <c r="F175" s="499"/>
      <c r="G175" s="499"/>
      <c r="H175" s="499"/>
      <c r="I175" s="499"/>
      <c r="J175" s="499"/>
      <c r="K175" s="495" t="s">
        <v>124</v>
      </c>
      <c r="L175" s="441"/>
      <c r="M175" s="441"/>
      <c r="N175" s="383"/>
      <c r="O175" s="442"/>
      <c r="P175" s="442"/>
      <c r="Q175" s="13"/>
      <c r="R175" s="449"/>
      <c r="S175" s="443"/>
    </row>
    <row r="176" spans="1:19" ht="20.25">
      <c r="A176" s="456"/>
      <c r="B176" s="457"/>
      <c r="C176" s="457"/>
      <c r="D176" s="457"/>
      <c r="E176" s="457"/>
      <c r="F176" s="457"/>
      <c r="G176" s="457"/>
      <c r="H176" s="457"/>
      <c r="I176" s="457"/>
      <c r="J176" s="459"/>
      <c r="K176" s="495" t="s">
        <v>126</v>
      </c>
      <c r="L176" s="441"/>
      <c r="M176" s="441"/>
      <c r="N176" s="383"/>
      <c r="O176" s="442"/>
      <c r="P176" s="442"/>
      <c r="Q176" s="13"/>
      <c r="R176" s="449"/>
      <c r="S176" s="443"/>
    </row>
    <row r="177" spans="1:19" ht="40.5">
      <c r="A177" s="456"/>
      <c r="B177" s="457"/>
      <c r="C177" s="457"/>
      <c r="D177" s="457"/>
      <c r="E177" s="457"/>
      <c r="F177" s="457"/>
      <c r="G177" s="457"/>
      <c r="H177" s="457"/>
      <c r="I177" s="457"/>
      <c r="J177" s="459"/>
      <c r="K177" s="495" t="s">
        <v>128</v>
      </c>
      <c r="L177" s="441"/>
      <c r="M177" s="441"/>
      <c r="N177" s="383"/>
      <c r="O177" s="442"/>
      <c r="P177" s="442"/>
      <c r="Q177" s="13"/>
      <c r="R177" s="449"/>
      <c r="S177" s="443"/>
    </row>
    <row r="178" spans="1:19" ht="20.25">
      <c r="A178" s="456"/>
      <c r="B178" s="457"/>
      <c r="C178" s="457"/>
      <c r="D178" s="457"/>
      <c r="E178" s="457"/>
      <c r="F178" s="457"/>
      <c r="G178" s="457"/>
      <c r="H178" s="457"/>
      <c r="I178" s="457"/>
      <c r="J178" s="459"/>
      <c r="K178" s="495" t="s">
        <v>130</v>
      </c>
      <c r="L178" s="441"/>
      <c r="M178" s="441"/>
      <c r="N178" s="383"/>
      <c r="O178" s="442"/>
      <c r="P178" s="442"/>
      <c r="Q178" s="13"/>
      <c r="R178" s="449"/>
      <c r="S178" s="443"/>
    </row>
    <row r="179" spans="1:19" ht="20.25">
      <c r="A179" s="456"/>
      <c r="B179" s="457"/>
      <c r="C179" s="457"/>
      <c r="D179" s="457"/>
      <c r="E179" s="457"/>
      <c r="F179" s="457"/>
      <c r="G179" s="457"/>
      <c r="H179" s="457"/>
      <c r="I179" s="457"/>
      <c r="J179" s="459"/>
      <c r="K179" s="495" t="s">
        <v>132</v>
      </c>
      <c r="L179" s="441"/>
      <c r="M179" s="441"/>
      <c r="N179" s="383"/>
      <c r="O179" s="442"/>
      <c r="P179" s="442"/>
      <c r="Q179" s="13"/>
      <c r="R179" s="449"/>
      <c r="S179" s="443"/>
    </row>
    <row r="180" spans="1:19" ht="13.5">
      <c r="A180" s="456"/>
      <c r="B180" s="457"/>
      <c r="C180" s="457"/>
      <c r="D180" s="457"/>
      <c r="E180" s="457"/>
      <c r="F180" s="457"/>
      <c r="G180" s="457"/>
      <c r="H180" s="457"/>
      <c r="I180" s="457"/>
      <c r="J180" s="459"/>
      <c r="K180" s="495" t="s">
        <v>134</v>
      </c>
      <c r="L180" s="441"/>
      <c r="M180" s="441"/>
      <c r="N180" s="383"/>
      <c r="O180" s="442"/>
      <c r="P180" s="442"/>
      <c r="Q180" s="13"/>
      <c r="R180" s="449"/>
      <c r="S180" s="443"/>
    </row>
    <row r="181" spans="1:19" ht="258.75" customHeight="1">
      <c r="A181" s="458"/>
      <c r="B181" s="458"/>
      <c r="C181" s="458"/>
      <c r="D181" s="458"/>
      <c r="E181" s="458"/>
      <c r="F181" s="458"/>
      <c r="G181" s="458"/>
      <c r="H181" s="458"/>
      <c r="I181" s="458"/>
      <c r="J181" s="459"/>
      <c r="K181" s="495" t="s">
        <v>136</v>
      </c>
      <c r="L181" s="441" t="s">
        <v>499</v>
      </c>
      <c r="M181" s="441" t="s">
        <v>500</v>
      </c>
      <c r="N181" s="383" t="s">
        <v>172</v>
      </c>
      <c r="O181" s="442" t="s">
        <v>501</v>
      </c>
      <c r="P181" s="442" t="s">
        <v>502</v>
      </c>
      <c r="Q181" s="13"/>
      <c r="R181" s="449"/>
      <c r="S181" s="443" t="s">
        <v>506</v>
      </c>
    </row>
    <row r="182" spans="1:19" ht="13.5">
      <c r="A182" s="456"/>
      <c r="B182" s="457"/>
      <c r="C182" s="457"/>
      <c r="D182" s="457"/>
      <c r="E182" s="457"/>
      <c r="F182" s="457"/>
      <c r="G182" s="457"/>
      <c r="H182" s="457"/>
      <c r="I182" s="457"/>
      <c r="J182" s="459"/>
      <c r="K182" s="495" t="s">
        <v>137</v>
      </c>
      <c r="L182" s="441"/>
      <c r="M182" s="441"/>
      <c r="N182" s="383"/>
      <c r="O182" s="442"/>
      <c r="P182" s="442"/>
      <c r="Q182" s="13"/>
      <c r="R182" s="449"/>
      <c r="S182" s="443"/>
    </row>
    <row r="183" spans="1:19" ht="118.5">
      <c r="A183" s="456"/>
      <c r="B183" s="457"/>
      <c r="C183" s="457"/>
      <c r="D183" s="457"/>
      <c r="E183" s="457"/>
      <c r="F183" s="457"/>
      <c r="G183" s="457"/>
      <c r="H183" s="457"/>
      <c r="I183" s="457"/>
      <c r="J183" s="459"/>
      <c r="K183" s="495" t="s">
        <v>139</v>
      </c>
      <c r="L183" s="441" t="s">
        <v>43</v>
      </c>
      <c r="M183" s="441" t="s">
        <v>565</v>
      </c>
      <c r="N183" s="383" t="s">
        <v>569</v>
      </c>
      <c r="O183" s="442" t="s">
        <v>562</v>
      </c>
      <c r="P183" s="442" t="s">
        <v>567</v>
      </c>
      <c r="Q183" s="442" t="s">
        <v>566</v>
      </c>
      <c r="R183" s="449" t="s">
        <v>563</v>
      </c>
      <c r="S183" s="443" t="s">
        <v>564</v>
      </c>
    </row>
    <row r="184" spans="1:19" ht="40.5">
      <c r="A184" s="456"/>
      <c r="B184" s="457"/>
      <c r="C184" s="457"/>
      <c r="D184" s="457"/>
      <c r="E184" s="457"/>
      <c r="F184" s="457"/>
      <c r="G184" s="457"/>
      <c r="H184" s="457"/>
      <c r="I184" s="457"/>
      <c r="J184" s="459"/>
      <c r="K184" s="495" t="s">
        <v>142</v>
      </c>
      <c r="L184" s="441"/>
      <c r="M184" s="441"/>
      <c r="N184" s="383"/>
      <c r="O184" s="442"/>
      <c r="P184" s="442"/>
      <c r="Q184" s="13"/>
      <c r="R184" s="449"/>
      <c r="S184" s="443"/>
    </row>
    <row r="185" spans="1:19" ht="30">
      <c r="A185" s="456"/>
      <c r="B185" s="457"/>
      <c r="C185" s="457"/>
      <c r="D185" s="457"/>
      <c r="E185" s="457"/>
      <c r="F185" s="457"/>
      <c r="G185" s="457"/>
      <c r="H185" s="457"/>
      <c r="I185" s="457"/>
      <c r="J185" s="459"/>
      <c r="K185" s="495" t="s">
        <v>328</v>
      </c>
      <c r="L185" s="441"/>
      <c r="M185" s="441"/>
      <c r="N185" s="383"/>
      <c r="O185" s="442"/>
      <c r="P185" s="442"/>
      <c r="Q185" s="13"/>
      <c r="R185" s="449"/>
      <c r="S185" s="443"/>
    </row>
    <row r="186" spans="1:256" ht="20.25">
      <c r="A186" s="456"/>
      <c r="B186" s="457"/>
      <c r="C186" s="457"/>
      <c r="D186" s="457"/>
      <c r="E186" s="457"/>
      <c r="F186" s="457"/>
      <c r="G186" s="457"/>
      <c r="H186" s="457"/>
      <c r="I186" s="457"/>
      <c r="J186" s="459"/>
      <c r="K186" s="495" t="s">
        <v>144</v>
      </c>
      <c r="L186" s="441"/>
      <c r="M186" s="441"/>
      <c r="N186" s="383"/>
      <c r="O186" s="442"/>
      <c r="P186" s="442"/>
      <c r="Q186" s="13"/>
      <c r="R186" s="449"/>
      <c r="S186" s="443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6"/>
      <c r="GN186" s="166"/>
      <c r="GO186" s="166"/>
      <c r="GP186" s="166"/>
      <c r="GQ186" s="166"/>
      <c r="GR186" s="166"/>
      <c r="GS186" s="166"/>
      <c r="GT186" s="166"/>
      <c r="GU186" s="166"/>
      <c r="GV186" s="166"/>
      <c r="GW186" s="166"/>
      <c r="GX186" s="166"/>
      <c r="GY186" s="166"/>
      <c r="GZ186" s="166"/>
      <c r="HA186" s="166"/>
      <c r="HB186" s="166"/>
      <c r="HC186" s="166"/>
      <c r="HD186" s="166"/>
      <c r="HE186" s="166"/>
      <c r="HF186" s="166"/>
      <c r="HG186" s="166"/>
      <c r="HH186" s="166"/>
      <c r="HI186" s="166"/>
      <c r="HJ186" s="166"/>
      <c r="HK186" s="166"/>
      <c r="HL186" s="166"/>
      <c r="HM186" s="166"/>
      <c r="HN186" s="166"/>
      <c r="HO186" s="166"/>
      <c r="HP186" s="166"/>
      <c r="HQ186" s="166"/>
      <c r="HR186" s="166"/>
      <c r="HS186" s="166"/>
      <c r="HT186" s="166"/>
      <c r="HU186" s="166"/>
      <c r="HV186" s="166"/>
      <c r="HW186" s="166"/>
      <c r="HX186" s="166"/>
      <c r="HY186" s="166"/>
      <c r="HZ186" s="166"/>
      <c r="IA186" s="166"/>
      <c r="IB186" s="166"/>
      <c r="IC186" s="166"/>
      <c r="ID186" s="166"/>
      <c r="IE186" s="166"/>
      <c r="IF186" s="166"/>
      <c r="IG186" s="166"/>
      <c r="IH186" s="166"/>
      <c r="II186" s="166"/>
      <c r="IJ186" s="166"/>
      <c r="IK186" s="166"/>
      <c r="IL186" s="166"/>
      <c r="IM186" s="166"/>
      <c r="IN186" s="166"/>
      <c r="IO186" s="166"/>
      <c r="IP186" s="166"/>
      <c r="IQ186" s="166"/>
      <c r="IR186" s="166"/>
      <c r="IS186" s="166"/>
      <c r="IT186" s="166"/>
      <c r="IU186" s="166"/>
      <c r="IV186" s="166"/>
    </row>
    <row r="187" spans="1:19" ht="20.25">
      <c r="A187" s="456"/>
      <c r="B187" s="457"/>
      <c r="C187" s="457"/>
      <c r="D187" s="457"/>
      <c r="E187" s="457"/>
      <c r="F187" s="457"/>
      <c r="G187" s="457"/>
      <c r="H187" s="459"/>
      <c r="I187" s="459"/>
      <c r="J187" s="459"/>
      <c r="K187" s="495" t="s">
        <v>146</v>
      </c>
      <c r="L187" s="441"/>
      <c r="M187" s="441"/>
      <c r="N187" s="383"/>
      <c r="O187" s="442"/>
      <c r="P187" s="442"/>
      <c r="Q187" s="13"/>
      <c r="R187" s="449"/>
      <c r="S187" s="443"/>
    </row>
    <row r="188" spans="1:19" ht="193.5">
      <c r="A188" s="456"/>
      <c r="B188" s="457"/>
      <c r="C188" s="457"/>
      <c r="D188" s="457"/>
      <c r="E188" s="457"/>
      <c r="F188" s="457"/>
      <c r="G188" s="457"/>
      <c r="H188" s="459"/>
      <c r="I188" s="459"/>
      <c r="J188" s="459"/>
      <c r="K188" s="495" t="s">
        <v>148</v>
      </c>
      <c r="L188" s="441" t="s">
        <v>43</v>
      </c>
      <c r="M188" s="441" t="s">
        <v>45</v>
      </c>
      <c r="N188" s="383" t="s">
        <v>172</v>
      </c>
      <c r="O188" s="442" t="s">
        <v>504</v>
      </c>
      <c r="P188" s="442"/>
      <c r="Q188" s="13"/>
      <c r="R188" s="449" t="s">
        <v>503</v>
      </c>
      <c r="S188" s="443" t="s">
        <v>505</v>
      </c>
    </row>
    <row r="189" spans="1:19" ht="40.5">
      <c r="A189" s="456"/>
      <c r="B189" s="457"/>
      <c r="C189" s="457"/>
      <c r="D189" s="457"/>
      <c r="E189" s="457"/>
      <c r="F189" s="457"/>
      <c r="G189" s="457"/>
      <c r="H189" s="459"/>
      <c r="I189" s="459"/>
      <c r="J189" s="459"/>
      <c r="K189" s="495" t="s">
        <v>511</v>
      </c>
      <c r="L189" s="441"/>
      <c r="M189" s="441"/>
      <c r="N189" s="383"/>
      <c r="O189" s="442"/>
      <c r="P189" s="442"/>
      <c r="Q189" s="13"/>
      <c r="R189" s="449"/>
      <c r="S189" s="443"/>
    </row>
    <row r="190" spans="1:19" ht="40.5">
      <c r="A190" s="456"/>
      <c r="B190" s="457"/>
      <c r="C190" s="457"/>
      <c r="D190" s="457"/>
      <c r="E190" s="457"/>
      <c r="F190" s="457"/>
      <c r="G190" s="457"/>
      <c r="H190" s="459"/>
      <c r="I190" s="459"/>
      <c r="J190" s="459"/>
      <c r="K190" s="495" t="s">
        <v>326</v>
      </c>
      <c r="L190" s="441"/>
      <c r="M190" s="441"/>
      <c r="N190" s="383"/>
      <c r="O190" s="442"/>
      <c r="P190" s="442"/>
      <c r="Q190" s="13"/>
      <c r="R190" s="449"/>
      <c r="S190" s="443"/>
    </row>
    <row r="191" spans="1:19" ht="20.25">
      <c r="A191" s="456"/>
      <c r="B191" s="457"/>
      <c r="C191" s="457"/>
      <c r="D191" s="457"/>
      <c r="E191" s="457"/>
      <c r="F191" s="457"/>
      <c r="G191" s="457"/>
      <c r="H191" s="459"/>
      <c r="I191" s="459"/>
      <c r="J191" s="459"/>
      <c r="K191" s="495" t="s">
        <v>151</v>
      </c>
      <c r="L191" s="441"/>
      <c r="M191" s="441"/>
      <c r="N191" s="383"/>
      <c r="O191" s="442"/>
      <c r="P191" s="442"/>
      <c r="Q191" s="13"/>
      <c r="R191" s="449"/>
      <c r="S191" s="443"/>
    </row>
    <row r="192" spans="1:19" ht="20.25">
      <c r="A192" s="456"/>
      <c r="B192" s="457"/>
      <c r="C192" s="457"/>
      <c r="D192" s="457"/>
      <c r="E192" s="457"/>
      <c r="F192" s="457"/>
      <c r="G192" s="457"/>
      <c r="H192" s="459"/>
      <c r="I192" s="459"/>
      <c r="J192" s="459"/>
      <c r="K192" s="495" t="s">
        <v>153</v>
      </c>
      <c r="L192" s="441"/>
      <c r="M192" s="441"/>
      <c r="N192" s="383"/>
      <c r="O192" s="442"/>
      <c r="P192" s="442"/>
      <c r="Q192" s="13"/>
      <c r="R192" s="449"/>
      <c r="S192" s="443"/>
    </row>
    <row r="193" spans="1:19" ht="20.25">
      <c r="A193" s="456"/>
      <c r="B193" s="457"/>
      <c r="C193" s="457"/>
      <c r="D193" s="457"/>
      <c r="E193" s="457"/>
      <c r="F193" s="457"/>
      <c r="G193" s="457"/>
      <c r="H193" s="459"/>
      <c r="I193" s="459"/>
      <c r="J193" s="459"/>
      <c r="K193" s="495" t="s">
        <v>155</v>
      </c>
      <c r="L193" s="441"/>
      <c r="M193" s="441"/>
      <c r="N193" s="383"/>
      <c r="O193" s="442"/>
      <c r="P193" s="442"/>
      <c r="Q193" s="13"/>
      <c r="R193" s="449"/>
      <c r="S193" s="443"/>
    </row>
    <row r="194" spans="1:19" ht="30">
      <c r="A194" s="456"/>
      <c r="B194" s="457"/>
      <c r="C194" s="457"/>
      <c r="D194" s="457"/>
      <c r="E194" s="457"/>
      <c r="F194" s="457"/>
      <c r="G194" s="457"/>
      <c r="H194" s="459"/>
      <c r="I194" s="459"/>
      <c r="J194" s="459"/>
      <c r="K194" s="495" t="s">
        <v>330</v>
      </c>
      <c r="L194" s="441"/>
      <c r="M194" s="441"/>
      <c r="N194" s="383"/>
      <c r="O194" s="442"/>
      <c r="P194" s="442"/>
      <c r="Q194" s="13"/>
      <c r="R194" s="449"/>
      <c r="S194" s="443"/>
    </row>
    <row r="195" spans="1:19" ht="20.25">
      <c r="A195" s="456"/>
      <c r="B195" s="457"/>
      <c r="C195" s="457"/>
      <c r="D195" s="457"/>
      <c r="E195" s="457"/>
      <c r="F195" s="457"/>
      <c r="G195" s="457"/>
      <c r="H195" s="459"/>
      <c r="I195" s="459"/>
      <c r="J195" s="459"/>
      <c r="K195" s="495" t="s">
        <v>321</v>
      </c>
      <c r="L195" s="441"/>
      <c r="M195" s="441"/>
      <c r="N195" s="383"/>
      <c r="O195" s="442"/>
      <c r="P195" s="442"/>
      <c r="Q195" s="13"/>
      <c r="R195" s="449"/>
      <c r="S195" s="443"/>
    </row>
    <row r="196" spans="1:19" ht="51">
      <c r="A196" s="456"/>
      <c r="B196" s="457"/>
      <c r="C196" s="457"/>
      <c r="D196" s="457"/>
      <c r="E196" s="457"/>
      <c r="F196" s="457"/>
      <c r="G196" s="457"/>
      <c r="H196" s="459"/>
      <c r="I196" s="459"/>
      <c r="J196" s="459"/>
      <c r="K196" s="495" t="s">
        <v>323</v>
      </c>
      <c r="L196" s="441"/>
      <c r="M196" s="441"/>
      <c r="N196" s="383"/>
      <c r="O196" s="442"/>
      <c r="P196" s="442"/>
      <c r="Q196" s="13"/>
      <c r="R196" s="449"/>
      <c r="S196" s="443"/>
    </row>
    <row r="197" spans="1:19" ht="40.5">
      <c r="A197" s="456"/>
      <c r="B197" s="457"/>
      <c r="C197" s="457"/>
      <c r="D197" s="457"/>
      <c r="E197" s="457"/>
      <c r="F197" s="457"/>
      <c r="G197" s="457"/>
      <c r="H197" s="459"/>
      <c r="I197" s="459"/>
      <c r="J197" s="459"/>
      <c r="K197" s="495" t="s">
        <v>320</v>
      </c>
      <c r="L197" s="441"/>
      <c r="M197" s="441"/>
      <c r="N197" s="383"/>
      <c r="O197" s="442"/>
      <c r="P197" s="442"/>
      <c r="Q197" s="13"/>
      <c r="R197" s="449"/>
      <c r="S197" s="443"/>
    </row>
    <row r="198" spans="1:19" ht="13.5">
      <c r="A198" s="456"/>
      <c r="B198" s="457"/>
      <c r="C198" s="457"/>
      <c r="D198" s="457"/>
      <c r="E198" s="457"/>
      <c r="F198" s="457"/>
      <c r="G198" s="457"/>
      <c r="H198" s="459"/>
      <c r="I198" s="459"/>
      <c r="J198" s="459"/>
      <c r="K198" s="495" t="s">
        <v>157</v>
      </c>
      <c r="L198" s="441"/>
      <c r="M198" s="441"/>
      <c r="N198" s="383"/>
      <c r="O198" s="442"/>
      <c r="P198" s="442"/>
      <c r="Q198" s="13"/>
      <c r="R198" s="449"/>
      <c r="S198" s="443"/>
    </row>
    <row r="199" spans="1:19" ht="30">
      <c r="A199" s="456"/>
      <c r="B199" s="457"/>
      <c r="C199" s="457"/>
      <c r="D199" s="457"/>
      <c r="E199" s="457"/>
      <c r="F199" s="457"/>
      <c r="G199" s="457"/>
      <c r="H199" s="459"/>
      <c r="I199" s="459"/>
      <c r="J199" s="459"/>
      <c r="K199" s="495" t="s">
        <v>159</v>
      </c>
      <c r="L199" s="441"/>
      <c r="M199" s="441"/>
      <c r="N199" s="383"/>
      <c r="O199" s="442"/>
      <c r="P199" s="442"/>
      <c r="Q199" s="13"/>
      <c r="R199" s="449"/>
      <c r="S199" s="443"/>
    </row>
    <row r="200" spans="1:19" ht="13.5">
      <c r="A200" s="456"/>
      <c r="B200" s="457"/>
      <c r="C200" s="457"/>
      <c r="D200" s="457"/>
      <c r="E200" s="457"/>
      <c r="F200" s="457"/>
      <c r="G200" s="457"/>
      <c r="H200" s="459"/>
      <c r="I200" s="459"/>
      <c r="J200" s="459"/>
      <c r="K200" s="495" t="s">
        <v>332</v>
      </c>
      <c r="L200" s="441"/>
      <c r="M200" s="441"/>
      <c r="N200" s="383"/>
      <c r="O200" s="442"/>
      <c r="P200" s="442"/>
      <c r="Q200" s="13"/>
      <c r="R200" s="449"/>
      <c r="S200" s="443"/>
    </row>
    <row r="201" spans="1:19" ht="247.5" customHeight="1">
      <c r="A201" s="13"/>
      <c r="B201" s="13"/>
      <c r="C201" s="457"/>
      <c r="D201" s="457"/>
      <c r="E201" s="457"/>
      <c r="F201" s="457"/>
      <c r="G201" s="457"/>
      <c r="H201" s="459"/>
      <c r="I201" s="459"/>
      <c r="J201" s="459"/>
      <c r="K201" s="497" t="str">
        <f>IF(долж_ОС="учитель","учитель","преподаватель")</f>
        <v>преподаватель</v>
      </c>
      <c r="L201" s="441" t="s">
        <v>43</v>
      </c>
      <c r="M201" s="441" t="s">
        <v>45</v>
      </c>
      <c r="N201" s="383" t="s">
        <v>172</v>
      </c>
      <c r="O201" s="442" t="s">
        <v>504</v>
      </c>
      <c r="P201" s="442"/>
      <c r="Q201" s="13"/>
      <c r="R201" s="449" t="s">
        <v>503</v>
      </c>
      <c r="S201" s="443" t="s">
        <v>505</v>
      </c>
    </row>
    <row r="202" spans="1:19" ht="20.25">
      <c r="A202" s="456"/>
      <c r="B202" s="457"/>
      <c r="C202" s="457"/>
      <c r="D202" s="457"/>
      <c r="E202" s="457"/>
      <c r="F202" s="457"/>
      <c r="G202" s="457"/>
      <c r="H202" s="459"/>
      <c r="I202" s="459"/>
      <c r="J202" s="459"/>
      <c r="K202" s="495" t="s">
        <v>161</v>
      </c>
      <c r="L202" s="441"/>
      <c r="M202" s="441"/>
      <c r="N202" s="383"/>
      <c r="O202" s="383"/>
      <c r="P202" s="442"/>
      <c r="Q202" s="13"/>
      <c r="R202" s="13"/>
      <c r="S202" s="450"/>
    </row>
    <row r="203" spans="1:19" ht="20.25">
      <c r="A203" s="456"/>
      <c r="B203" s="457"/>
      <c r="C203" s="457"/>
      <c r="D203" s="457"/>
      <c r="E203" s="457"/>
      <c r="F203" s="457"/>
      <c r="G203" s="457"/>
      <c r="H203" s="459"/>
      <c r="I203" s="459"/>
      <c r="J203" s="459"/>
      <c r="K203" s="495" t="s">
        <v>163</v>
      </c>
      <c r="L203" s="441"/>
      <c r="M203" s="441"/>
      <c r="N203" s="383"/>
      <c r="O203" s="383"/>
      <c r="P203" s="442"/>
      <c r="Q203" s="13"/>
      <c r="R203" s="13"/>
      <c r="S203" s="450"/>
    </row>
    <row r="204" spans="1:19" ht="14.25" thickBot="1">
      <c r="A204" s="456"/>
      <c r="B204" s="457"/>
      <c r="C204" s="457"/>
      <c r="D204" s="457"/>
      <c r="E204" s="457"/>
      <c r="F204" s="457"/>
      <c r="G204" s="457"/>
      <c r="H204" s="459"/>
      <c r="I204" s="459"/>
      <c r="J204" s="459"/>
      <c r="K204" s="498" t="s">
        <v>324</v>
      </c>
      <c r="L204" s="451"/>
      <c r="M204" s="451"/>
      <c r="N204" s="452"/>
      <c r="O204" s="452"/>
      <c r="P204" s="453"/>
      <c r="Q204" s="455"/>
      <c r="R204" s="455"/>
      <c r="S204" s="454"/>
    </row>
    <row r="205" spans="1:14" ht="13.5" thickTop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M205" s="5"/>
      <c r="N205" s="5"/>
    </row>
    <row r="206" spans="1:14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M206" s="5"/>
      <c r="N206" s="5"/>
    </row>
    <row r="207" spans="1:14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M207" s="5"/>
      <c r="N207" s="5"/>
    </row>
    <row r="208" spans="1:14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M208" s="5"/>
      <c r="N208" s="5"/>
    </row>
    <row r="209" spans="1:256" s="166" customFormat="1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69"/>
      <c r="L209" s="2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14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M210" s="5"/>
      <c r="N210" s="5"/>
    </row>
    <row r="211" spans="1:1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M211" s="5"/>
      <c r="N211" s="5"/>
    </row>
    <row r="212" spans="1:14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M212" s="5"/>
      <c r="N212" s="5"/>
    </row>
    <row r="213" spans="1:14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M213" s="5"/>
      <c r="N213" s="5"/>
    </row>
    <row r="214" spans="1:14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M214" s="5"/>
      <c r="N214" s="5"/>
    </row>
    <row r="215" spans="1:14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M215" s="5"/>
      <c r="N215" s="5"/>
    </row>
    <row r="216" spans="1:14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M216" s="5"/>
      <c r="N216" s="5"/>
    </row>
    <row r="217" spans="1:1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M217" s="5"/>
      <c r="N217" s="5"/>
    </row>
    <row r="218" spans="1:14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M218" s="5"/>
      <c r="N218" s="5"/>
    </row>
    <row r="219" spans="1:14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M219" s="5"/>
      <c r="N219" s="5"/>
    </row>
    <row r="220" spans="1:1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M220" s="5"/>
      <c r="N220" s="5"/>
    </row>
    <row r="221" spans="1:14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M221" s="5"/>
      <c r="N221" s="5"/>
    </row>
    <row r="222" spans="1:14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M222" s="5"/>
      <c r="N222" s="5"/>
    </row>
    <row r="223" spans="1:14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M223" s="5"/>
      <c r="N223" s="5"/>
    </row>
    <row r="224" spans="1:256" ht="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DI224" s="166"/>
      <c r="DJ224" s="166"/>
      <c r="DK224" s="166"/>
      <c r="DL224" s="166"/>
      <c r="DM224" s="166"/>
      <c r="DN224" s="166"/>
      <c r="DO224" s="166"/>
      <c r="DP224" s="166"/>
      <c r="DQ224" s="166"/>
      <c r="DR224" s="166"/>
      <c r="DS224" s="166"/>
      <c r="DT224" s="166"/>
      <c r="DU224" s="166"/>
      <c r="DV224" s="166"/>
      <c r="DW224" s="166"/>
      <c r="DX224" s="166"/>
      <c r="DY224" s="166"/>
      <c r="DZ224" s="166"/>
      <c r="EA224" s="166"/>
      <c r="EB224" s="166"/>
      <c r="EC224" s="166"/>
      <c r="ED224" s="166"/>
      <c r="EE224" s="166"/>
      <c r="EF224" s="166"/>
      <c r="EG224" s="166"/>
      <c r="EH224" s="166"/>
      <c r="EI224" s="166"/>
      <c r="EJ224" s="166"/>
      <c r="EK224" s="166"/>
      <c r="EL224" s="166"/>
      <c r="EM224" s="166"/>
      <c r="EN224" s="166"/>
      <c r="EO224" s="166"/>
      <c r="EP224" s="166"/>
      <c r="EQ224" s="166"/>
      <c r="ER224" s="166"/>
      <c r="ES224" s="166"/>
      <c r="ET224" s="166"/>
      <c r="EU224" s="166"/>
      <c r="EV224" s="166"/>
      <c r="EW224" s="166"/>
      <c r="EX224" s="166"/>
      <c r="EY224" s="166"/>
      <c r="EZ224" s="166"/>
      <c r="FA224" s="166"/>
      <c r="FB224" s="166"/>
      <c r="FC224" s="166"/>
      <c r="FD224" s="166"/>
      <c r="FE224" s="166"/>
      <c r="FF224" s="166"/>
      <c r="FG224" s="166"/>
      <c r="FH224" s="166"/>
      <c r="FI224" s="166"/>
      <c r="FJ224" s="166"/>
      <c r="FK224" s="166"/>
      <c r="FL224" s="166"/>
      <c r="FM224" s="166"/>
      <c r="FN224" s="166"/>
      <c r="FO224" s="166"/>
      <c r="FP224" s="166"/>
      <c r="FQ224" s="166"/>
      <c r="FR224" s="166"/>
      <c r="FS224" s="166"/>
      <c r="FT224" s="166"/>
      <c r="FU224" s="166"/>
      <c r="FV224" s="166"/>
      <c r="FW224" s="166"/>
      <c r="FX224" s="166"/>
      <c r="FY224" s="166"/>
      <c r="FZ224" s="166"/>
      <c r="GA224" s="166"/>
      <c r="GB224" s="166"/>
      <c r="GC224" s="166"/>
      <c r="GD224" s="166"/>
      <c r="GE224" s="166"/>
      <c r="GF224" s="166"/>
      <c r="GG224" s="166"/>
      <c r="GH224" s="166"/>
      <c r="GI224" s="166"/>
      <c r="GJ224" s="166"/>
      <c r="GK224" s="166"/>
      <c r="GL224" s="166"/>
      <c r="GM224" s="166"/>
      <c r="GN224" s="166"/>
      <c r="GO224" s="166"/>
      <c r="GP224" s="166"/>
      <c r="GQ224" s="166"/>
      <c r="GR224" s="166"/>
      <c r="GS224" s="166"/>
      <c r="GT224" s="166"/>
      <c r="GU224" s="166"/>
      <c r="GV224" s="166"/>
      <c r="GW224" s="166"/>
      <c r="GX224" s="166"/>
      <c r="GY224" s="166"/>
      <c r="GZ224" s="166"/>
      <c r="HA224" s="166"/>
      <c r="HB224" s="166"/>
      <c r="HC224" s="166"/>
      <c r="HD224" s="166"/>
      <c r="HE224" s="166"/>
      <c r="HF224" s="166"/>
      <c r="HG224" s="166"/>
      <c r="HH224" s="166"/>
      <c r="HI224" s="166"/>
      <c r="HJ224" s="166"/>
      <c r="HK224" s="166"/>
      <c r="HL224" s="166"/>
      <c r="HM224" s="166"/>
      <c r="HN224" s="166"/>
      <c r="HO224" s="166"/>
      <c r="HP224" s="166"/>
      <c r="HQ224" s="166"/>
      <c r="HR224" s="166"/>
      <c r="HS224" s="166"/>
      <c r="HT224" s="166"/>
      <c r="HU224" s="166"/>
      <c r="HV224" s="166"/>
      <c r="HW224" s="166"/>
      <c r="HX224" s="166"/>
      <c r="HY224" s="166"/>
      <c r="HZ224" s="166"/>
      <c r="IA224" s="166"/>
      <c r="IB224" s="166"/>
      <c r="IC224" s="166"/>
      <c r="ID224" s="166"/>
      <c r="IE224" s="166"/>
      <c r="IF224" s="166"/>
      <c r="IG224" s="166"/>
      <c r="IH224" s="166"/>
      <c r="II224" s="166"/>
      <c r="IJ224" s="166"/>
      <c r="IK224" s="166"/>
      <c r="IL224" s="166"/>
      <c r="IM224" s="166"/>
      <c r="IN224" s="166"/>
      <c r="IO224" s="166"/>
      <c r="IP224" s="166"/>
      <c r="IQ224" s="166"/>
      <c r="IR224" s="166"/>
      <c r="IS224" s="166"/>
      <c r="IT224" s="166"/>
      <c r="IU224" s="166"/>
      <c r="IV224" s="166"/>
    </row>
    <row r="225" spans="1:10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ht="12.75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ht="12.75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ht="12.7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ht="12.75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ht="12.75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ht="12.75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ht="12.75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ht="12.75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ht="12.75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ht="12.75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ht="12.75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ht="12.75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ht="12.75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ht="12.75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ht="12.75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ht="12.75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</sheetData>
  <sheetProtection password="CF6C" sheet="1"/>
  <mergeCells count="92">
    <mergeCell ref="B171:J171"/>
    <mergeCell ref="B170:J170"/>
    <mergeCell ref="A153:J153"/>
    <mergeCell ref="A167:J167"/>
    <mergeCell ref="B50:E50"/>
    <mergeCell ref="A172:J172"/>
    <mergeCell ref="A152:J152"/>
    <mergeCell ref="A66:I66"/>
    <mergeCell ref="B72:J74"/>
    <mergeCell ref="A53:A54"/>
    <mergeCell ref="N158:N160"/>
    <mergeCell ref="A101:I101"/>
    <mergeCell ref="G103:H103"/>
    <mergeCell ref="A70:C70"/>
    <mergeCell ref="B35:I35"/>
    <mergeCell ref="B63:D63"/>
    <mergeCell ref="C111:I111"/>
    <mergeCell ref="C112:H112"/>
    <mergeCell ref="L153:M153"/>
    <mergeCell ref="D89:J89"/>
    <mergeCell ref="B34:I34"/>
    <mergeCell ref="B38:H38"/>
    <mergeCell ref="B39:H39"/>
    <mergeCell ref="A123:J124"/>
    <mergeCell ref="B57:J58"/>
    <mergeCell ref="B59:D59"/>
    <mergeCell ref="A61:A62"/>
    <mergeCell ref="B61:J62"/>
    <mergeCell ref="B40:H40"/>
    <mergeCell ref="C42:I42"/>
    <mergeCell ref="A44:C44"/>
    <mergeCell ref="H4:J4"/>
    <mergeCell ref="E22:J22"/>
    <mergeCell ref="F48:H48"/>
    <mergeCell ref="I38:J38"/>
    <mergeCell ref="B24:I24"/>
    <mergeCell ref="A18:H18"/>
    <mergeCell ref="C32:E32"/>
    <mergeCell ref="H5:J7"/>
    <mergeCell ref="A1:J2"/>
    <mergeCell ref="A3:J3"/>
    <mergeCell ref="B4:C4"/>
    <mergeCell ref="G32:I32"/>
    <mergeCell ref="A46:C46"/>
    <mergeCell ref="A28:I28"/>
    <mergeCell ref="A30:B30"/>
    <mergeCell ref="C30:I30"/>
    <mergeCell ref="I39:J39"/>
    <mergeCell ref="B36:I36"/>
    <mergeCell ref="B53:J54"/>
    <mergeCell ref="B55:D55"/>
    <mergeCell ref="A57:A58"/>
    <mergeCell ref="A90:I90"/>
    <mergeCell ref="A77:E77"/>
    <mergeCell ref="G79:H79"/>
    <mergeCell ref="A80:F80"/>
    <mergeCell ref="G82:H82"/>
    <mergeCell ref="M158:M160"/>
    <mergeCell ref="C113:I113"/>
    <mergeCell ref="C115:I115"/>
    <mergeCell ref="C116:H116"/>
    <mergeCell ref="A120:I120"/>
    <mergeCell ref="A126:J126"/>
    <mergeCell ref="A155:J156"/>
    <mergeCell ref="A128:J129"/>
    <mergeCell ref="A154:J154"/>
    <mergeCell ref="A164:J164"/>
    <mergeCell ref="A168:J168"/>
    <mergeCell ref="A32:B32"/>
    <mergeCell ref="K155:K156"/>
    <mergeCell ref="A158:J161"/>
    <mergeCell ref="A147:J147"/>
    <mergeCell ref="A150:J150"/>
    <mergeCell ref="A98:J98"/>
    <mergeCell ref="A99:J99"/>
    <mergeCell ref="G80:H80"/>
    <mergeCell ref="C109:I109"/>
    <mergeCell ref="A110:A111"/>
    <mergeCell ref="C110:H110"/>
    <mergeCell ref="C114:H114"/>
    <mergeCell ref="A163:J163"/>
    <mergeCell ref="A125:J125"/>
    <mergeCell ref="H8:J12"/>
    <mergeCell ref="L158:L160"/>
    <mergeCell ref="H13:J17"/>
    <mergeCell ref="A162:J162"/>
    <mergeCell ref="K162:K163"/>
    <mergeCell ref="G83:H83"/>
    <mergeCell ref="A87:J88"/>
    <mergeCell ref="A92:H94"/>
    <mergeCell ref="A95:H96"/>
    <mergeCell ref="A105:I105"/>
  </mergeCells>
  <conditionalFormatting sqref="I38">
    <cfRule type="expression" priority="41" dxfId="28" stopIfTrue="1">
      <formula>$I$38&lt;&gt;""</formula>
    </cfRule>
  </conditionalFormatting>
  <conditionalFormatting sqref="A128 A1">
    <cfRule type="cellIs" priority="38" dxfId="29" operator="equal" stopIfTrue="1">
      <formula>"Все данные введены. Перейдите на лист ЭЗ"</formula>
    </cfRule>
  </conditionalFormatting>
  <conditionalFormatting sqref="B115:I116">
    <cfRule type="expression" priority="39" dxfId="30" stopIfTrue="1">
      <formula>$F$107&lt;3</formula>
    </cfRule>
  </conditionalFormatting>
  <conditionalFormatting sqref="B113:B114 I113:I114 C113:H113">
    <cfRule type="expression" priority="40" dxfId="30" stopIfTrue="1">
      <formula>$F$107&lt;2</formula>
    </cfRule>
  </conditionalFormatting>
  <conditionalFormatting sqref="A123">
    <cfRule type="containsText" priority="37" dxfId="31" operator="containsText" stopIfTrue="1" text="НЕ СООТВ">
      <formula>NOT(ISERROR(SEARCH("НЕ СООТВ",A123)))</formula>
    </cfRule>
  </conditionalFormatting>
  <conditionalFormatting sqref="I83">
    <cfRule type="expression" priority="30" dxfId="30" stopIfTrue="1">
      <formula>$G$83="нет"</formula>
    </cfRule>
  </conditionalFormatting>
  <conditionalFormatting sqref="K75 J83">
    <cfRule type="expression" priority="32" dxfId="32" stopIfTrue="1">
      <formula>$G$83="нет"</formula>
    </cfRule>
  </conditionalFormatting>
  <conditionalFormatting sqref="H77">
    <cfRule type="expression" priority="34" dxfId="33" stopIfTrue="1">
      <formula>$G$77&gt;0</formula>
    </cfRule>
  </conditionalFormatting>
  <conditionalFormatting sqref="I39">
    <cfRule type="expression" priority="29" dxfId="28" stopIfTrue="1">
      <formula>$I$40&lt;&gt;""</formula>
    </cfRule>
  </conditionalFormatting>
  <conditionalFormatting sqref="B39">
    <cfRule type="expression" priority="28" dxfId="34" stopIfTrue="1">
      <formula>"$A$23=""-"""</formula>
    </cfRule>
  </conditionalFormatting>
  <conditionalFormatting sqref="E4:F16">
    <cfRule type="cellIs" priority="42" dxfId="35" operator="equal" stopIfTrue="1">
      <formula>0</formula>
    </cfRule>
  </conditionalFormatting>
  <conditionalFormatting sqref="I48:J48 E48:F48">
    <cfRule type="expression" priority="43" dxfId="30" stopIfTrue="1">
      <formula>$D$46&lt;&gt;"нет"</formula>
    </cfRule>
  </conditionalFormatting>
  <conditionalFormatting sqref="C114:H114">
    <cfRule type="expression" priority="44" dxfId="36" stopIfTrue="1">
      <formula>$F$107&lt;2</formula>
    </cfRule>
  </conditionalFormatting>
  <conditionalFormatting sqref="C23">
    <cfRule type="expression" priority="62" dxfId="37" stopIfTrue="1">
      <formula>#REF!="нет"</formula>
    </cfRule>
  </conditionalFormatting>
  <conditionalFormatting sqref="J70:J71 E70 G70">
    <cfRule type="expression" priority="128" dxfId="38" stopIfTrue="1">
      <formula>$A$70=$N$74</formula>
    </cfRule>
  </conditionalFormatting>
  <conditionalFormatting sqref="B72:J74">
    <cfRule type="expression" priority="131" dxfId="39" stopIfTrue="1">
      <formula>$A$70=$N$74</formula>
    </cfRule>
  </conditionalFormatting>
  <conditionalFormatting sqref="K124">
    <cfRule type="containsText" priority="7" dxfId="40" operator="containsText" stopIfTrue="1" text="не соотв">
      <formula>NOT(ISERROR(SEARCH("не соотв",K124)))</formula>
    </cfRule>
  </conditionalFormatting>
  <conditionalFormatting sqref="E22:J22">
    <cfRule type="expression" priority="154" dxfId="41" stopIfTrue="1">
      <formula>$C$22&lt;&gt;"да"</formula>
    </cfRule>
  </conditionalFormatting>
  <conditionalFormatting sqref="C20:C22">
    <cfRule type="expression" priority="177" dxfId="39" stopIfTrue="1">
      <formula>$B$20=""</formula>
    </cfRule>
  </conditionalFormatting>
  <conditionalFormatting sqref="I93">
    <cfRule type="expression" priority="187" dxfId="42" stopIfTrue="1">
      <formula>OR($G$79="да",$G$80="да",$G$84="да")</formula>
    </cfRule>
  </conditionalFormatting>
  <conditionalFormatting sqref="J93">
    <cfRule type="expression" priority="190" dxfId="32" stopIfTrue="1">
      <formula>AND($G$79="нет",$G$80="нет",$G$84="нет")</formula>
    </cfRule>
  </conditionalFormatting>
  <conditionalFormatting sqref="I46">
    <cfRule type="expression" priority="6" dxfId="43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8">
      <formula1>25569</formula1>
      <formula2>N46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5 E59 E63">
      <formula1>1900</formula1>
      <formula2>K55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0">
      <formula1>L70</formula1>
      <formula2>K70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6">
      <formula1>M46</formula1>
      <formula2>N46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2:E32">
      <formula1>$E$4:$E$16</formula1>
    </dataValidation>
    <dataValidation type="list" showInputMessage="1" showErrorMessage="1" sqref="G82:H83 G79:H80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3">
      <formula1>"нет, да"</formula1>
    </dataValidation>
    <dataValidation type="list" showInputMessage="1" showErrorMessage="1" promptTitle="Выберите из списка" prompt=" (нет/да)" sqref="I96">
      <formula1>"нет, да"</formula1>
    </dataValidation>
    <dataValidation type="list" allowBlank="1" showInputMessage="1" showErrorMessage="1" sqref="F107">
      <formula1>"1, 2"</formula1>
    </dataValidation>
    <dataValidation allowBlank="1" showInputMessage="1" showErrorMessage="1" promptTitle="Введите" prompt="ФИО полностью&#10;" sqref="C109 C115 C113 C111"/>
    <dataValidation type="whole" allowBlank="1" showInputMessage="1" showErrorMessage="1" promptTitle="Введите число" prompt="от 12 до 25" sqref="H118">
      <formula1>20</formula1>
      <formula2>35</formula2>
    </dataValidation>
    <dataValidation type="list" allowBlank="1" showInputMessage="1" showErrorMessage="1" promptTitle="Воспользуйтесь кнопкой" prompt="справа" sqref="E11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8">
      <formula1>1</formula1>
      <formula2>31</formula2>
    </dataValidation>
    <dataValidation allowBlank="1" showInputMessage="1" showErrorMessage="1" promptTitle="Введите" prompt="ФИО полностью" sqref="L110 C30:I31 C33:I33"/>
    <dataValidation errorStyle="warning" type="list" allowBlank="1" showInputMessage="1" showErrorMessage="1" errorTitle="Внимание! Нет в списке!" error="&#10;Вы уверены?&#10;----------------" sqref="A61:A62 A57:A58">
      <formula1>$K$50:$R$50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53:J54 B57:J58 B61:J62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5 J83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0">
      <formula1>$N$74:$N$76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7">
      <formula1>16</formula1>
      <formula2>9000</formula2>
    </dataValidation>
    <dataValidation type="list" showInputMessage="1" showErrorMessage="1" promptTitle="Выберите из списка" prompt="воспользуйтесь кнопкой" sqref="A77:E77">
      <formula1>$L$73:$L$77</formula1>
    </dataValidation>
    <dataValidation type="list" allowBlank="1" showInputMessage="1" showErrorMessage="1" promptTitle="Выберите из списка" prompt="год окончания&#10;   или &#10;обучается" sqref="E70">
      <formula1>"год окончания, обучается, "</formula1>
    </dataValidation>
    <dataValidation type="list" showInputMessage="1" showErrorMessage="1" sqref="N57:O57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4">
      <formula1>0</formula1>
      <formula2>66</formula2>
    </dataValidation>
    <dataValidation errorStyle="information" allowBlank="1" sqref="A42:I43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2:I32">
      <formula1>$E$4:$E$16</formula1>
    </dataValidation>
    <dataValidation type="list" allowBlank="1" showInputMessage="1" showErrorMessage="1" promptTitle="Выберите из списка" prompt="воспользуйтесь кнопкой" sqref="D48">
      <formula1>"первая, высшая"</formula1>
    </dataValidation>
    <dataValidation type="whole" allowBlank="1" showInputMessage="1" showErrorMessage="1" promptTitle="Введите" prompt="целое число лет" sqref="D44">
      <formula1>1</formula1>
      <formula2>99</formula2>
    </dataValidation>
    <dataValidation type="list" showInputMessage="1" showErrorMessage="1" promptTitle="выберите из списка" prompt="воспользуйтесь кнопкой" sqref="D46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8:H48">
      <formula1>$L$47:$N$47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2:J74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2:J22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$B$130:$H$130</formula1>
    </dataValidation>
    <dataValidation type="list" allowBlank="1" showInputMessage="1" showErrorMessage="1" sqref="C20:C22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0:E50">
      <formula1>$L$50:$N$50</formula1>
    </dataValidation>
    <dataValidation errorStyle="warning" allowBlank="1" showInputMessage="1" showErrorMessage="1" errorTitle="Внимание! Нет в списке!" error="&#10;Вы уверены?&#10;----------------" sqref="A53:A54"/>
    <dataValidation type="list" allowBlank="1" showInputMessage="1" showErrorMessage="1" sqref="B24:I24">
      <formula1>$L$20:$L$23</formula1>
    </dataValidation>
    <dataValidation type="list" showInputMessage="1" showErrorMessage="1" errorTitle="Внимание!" error="Должности нет в списке!&#10;&#10;Воспользуйтесь кнопкой справа" sqref="B38:H38">
      <formula1>"музыкальный руководитель,"</formula1>
    </dataValidation>
    <dataValidation type="list" showInputMessage="1" showErrorMessage="1" promptTitle="выберите из списка" prompt="НЕТ \ ДА" sqref="G103:H103">
      <formula1>"нет, да"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" errorTitle="Внимание!" error="Длина строки более 50 символов" sqref="B39:H39">
      <formula1>1</formula1>
      <formula2>50</formula2>
    </dataValidation>
  </dataValidations>
  <hyperlinks>
    <hyperlink ref="A147:J147" location="ЭЗ!A40" tooltip="Щелкните, чтобы перейти по ссылке" display="Перейти на лист 'ЭЗ'"/>
    <hyperlink ref="A150:J150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2:J172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6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69" customWidth="1"/>
    <col min="2" max="2" width="7.50390625" style="5" customWidth="1"/>
    <col min="3" max="4" width="6.625" style="5" customWidth="1"/>
    <col min="5" max="5" width="5.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315" hidden="1" customWidth="1"/>
    <col min="32" max="32" width="8.125" style="315" hidden="1" customWidth="1"/>
    <col min="33" max="33" width="9.125" style="5" hidden="1" customWidth="1"/>
    <col min="34" max="34" width="4.00390625" style="5" hidden="1" customWidth="1"/>
    <col min="35" max="16384" width="9.125" style="5" customWidth="1"/>
  </cols>
  <sheetData>
    <row r="1" spans="24:31" ht="12.75" customHeight="1" hidden="1">
      <c r="X1" s="319"/>
      <c r="Y1" s="248"/>
      <c r="Z1" s="249"/>
      <c r="AA1" s="237"/>
      <c r="AB1" s="237" t="s">
        <v>179</v>
      </c>
      <c r="AC1" s="250" t="s">
        <v>180</v>
      </c>
      <c r="AE1" s="557"/>
    </row>
    <row r="2" spans="24:31" ht="12.75" customHeight="1" hidden="1">
      <c r="X2" s="319"/>
      <c r="Y2" s="359" t="s">
        <v>120</v>
      </c>
      <c r="Z2" s="363"/>
      <c r="AA2" s="352" t="s">
        <v>372</v>
      </c>
      <c r="AB2" s="240"/>
      <c r="AC2" s="241">
        <f>LEN(AA2)</f>
        <v>8</v>
      </c>
      <c r="AE2" s="347" t="s">
        <v>121</v>
      </c>
    </row>
    <row r="3" spans="24:31" ht="12.75" hidden="1">
      <c r="X3" s="319"/>
      <c r="Y3" s="360" t="s">
        <v>122</v>
      </c>
      <c r="Z3" s="364" t="s">
        <v>141</v>
      </c>
      <c r="AA3" s="352" t="s">
        <v>373</v>
      </c>
      <c r="AB3" s="240"/>
      <c r="AC3" s="241">
        <f aca="true" t="shared" si="0" ref="AC3:AC33">LEN(AA3)</f>
        <v>11</v>
      </c>
      <c r="AE3" s="347" t="s">
        <v>123</v>
      </c>
    </row>
    <row r="4" spans="24:31" ht="12.75" hidden="1">
      <c r="X4" s="319"/>
      <c r="Y4" s="361" t="s">
        <v>124</v>
      </c>
      <c r="Z4" s="365"/>
      <c r="AA4" s="352" t="s">
        <v>374</v>
      </c>
      <c r="AB4" s="240"/>
      <c r="AC4" s="241">
        <f t="shared" si="0"/>
        <v>11</v>
      </c>
      <c r="AE4" s="347" t="s">
        <v>125</v>
      </c>
    </row>
    <row r="5" spans="24:31" ht="12.75" hidden="1">
      <c r="X5" s="319"/>
      <c r="Y5" s="360" t="s">
        <v>126</v>
      </c>
      <c r="Z5" s="364"/>
      <c r="AA5" s="352" t="s">
        <v>375</v>
      </c>
      <c r="AB5" s="240"/>
      <c r="AC5" s="241">
        <f t="shared" si="0"/>
        <v>20</v>
      </c>
      <c r="AE5" s="347" t="s">
        <v>127</v>
      </c>
    </row>
    <row r="6" spans="24:31" ht="12.75" hidden="1">
      <c r="X6" s="319"/>
      <c r="Y6" s="360" t="s">
        <v>128</v>
      </c>
      <c r="Z6" s="364"/>
      <c r="AA6" s="352" t="s">
        <v>376</v>
      </c>
      <c r="AB6" s="240"/>
      <c r="AC6" s="241">
        <f t="shared" si="0"/>
        <v>28</v>
      </c>
      <c r="AE6" s="347" t="s">
        <v>129</v>
      </c>
    </row>
    <row r="7" spans="24:31" ht="12.75" hidden="1">
      <c r="X7" s="319"/>
      <c r="Y7" s="360" t="s">
        <v>130</v>
      </c>
      <c r="Z7" s="364"/>
      <c r="AA7" s="352" t="s">
        <v>377</v>
      </c>
      <c r="AB7" s="240"/>
      <c r="AC7" s="241">
        <f t="shared" si="0"/>
        <v>21</v>
      </c>
      <c r="AE7" s="347" t="s">
        <v>131</v>
      </c>
    </row>
    <row r="8" spans="24:31" ht="12.75" hidden="1">
      <c r="X8" s="319"/>
      <c r="Y8" s="360" t="s">
        <v>132</v>
      </c>
      <c r="Z8" s="364"/>
      <c r="AA8" s="352" t="s">
        <v>378</v>
      </c>
      <c r="AB8" s="240"/>
      <c r="AC8" s="241">
        <f t="shared" si="0"/>
        <v>15</v>
      </c>
      <c r="AE8" s="347" t="s">
        <v>133</v>
      </c>
    </row>
    <row r="9" spans="24:31" ht="12.75" hidden="1">
      <c r="X9" s="319"/>
      <c r="Y9" s="361" t="s">
        <v>134</v>
      </c>
      <c r="Z9" s="365"/>
      <c r="AA9" s="352" t="s">
        <v>379</v>
      </c>
      <c r="AB9" s="240"/>
      <c r="AC9" s="241">
        <f t="shared" si="0"/>
        <v>8</v>
      </c>
      <c r="AE9" s="347" t="s">
        <v>135</v>
      </c>
    </row>
    <row r="10" spans="24:31" ht="12.75" hidden="1">
      <c r="X10" s="319"/>
      <c r="Y10" s="360" t="s">
        <v>136</v>
      </c>
      <c r="Z10" s="364"/>
      <c r="AA10" s="352" t="s">
        <v>474</v>
      </c>
      <c r="AB10" s="240"/>
      <c r="AC10" s="241">
        <f t="shared" si="0"/>
        <v>34</v>
      </c>
      <c r="AE10" s="347" t="s">
        <v>476</v>
      </c>
    </row>
    <row r="11" spans="24:31" ht="12.75" hidden="1">
      <c r="X11" s="319"/>
      <c r="Y11" s="360" t="s">
        <v>137</v>
      </c>
      <c r="Z11" s="364"/>
      <c r="AA11" s="352" t="s">
        <v>380</v>
      </c>
      <c r="AB11" s="240"/>
      <c r="AC11" s="241">
        <f t="shared" si="0"/>
        <v>9</v>
      </c>
      <c r="AE11" s="347" t="s">
        <v>138</v>
      </c>
    </row>
    <row r="12" spans="24:31" ht="12.75" hidden="1">
      <c r="X12" s="319"/>
      <c r="Y12" s="360" t="s">
        <v>139</v>
      </c>
      <c r="Z12" s="364"/>
      <c r="AA12" s="352" t="s">
        <v>381</v>
      </c>
      <c r="AB12" s="240"/>
      <c r="AC12" s="241">
        <f t="shared" si="0"/>
        <v>25</v>
      </c>
      <c r="AE12" s="347" t="s">
        <v>140</v>
      </c>
    </row>
    <row r="13" spans="24:31" ht="12.75" hidden="1">
      <c r="X13" s="319"/>
      <c r="Y13" s="360" t="s">
        <v>142</v>
      </c>
      <c r="Z13" s="364"/>
      <c r="AA13" s="352" t="s">
        <v>382</v>
      </c>
      <c r="AB13" s="240"/>
      <c r="AC13" s="241">
        <f t="shared" si="0"/>
        <v>25</v>
      </c>
      <c r="AE13" s="347" t="s">
        <v>143</v>
      </c>
    </row>
    <row r="14" spans="24:31" ht="12.75" hidden="1">
      <c r="X14" s="319"/>
      <c r="Y14" s="359" t="s">
        <v>328</v>
      </c>
      <c r="Z14" s="363"/>
      <c r="AA14" s="352" t="s">
        <v>383</v>
      </c>
      <c r="AB14" s="240"/>
      <c r="AC14" s="241">
        <f t="shared" si="0"/>
        <v>21</v>
      </c>
      <c r="AE14" s="347" t="s">
        <v>329</v>
      </c>
    </row>
    <row r="15" spans="24:31" ht="12.75" hidden="1">
      <c r="X15" s="319"/>
      <c r="Y15" s="360" t="s">
        <v>144</v>
      </c>
      <c r="Z15" s="364" t="s">
        <v>141</v>
      </c>
      <c r="AA15" s="352" t="s">
        <v>384</v>
      </c>
      <c r="AB15" s="240"/>
      <c r="AC15" s="241">
        <f t="shared" si="0"/>
        <v>21</v>
      </c>
      <c r="AE15" s="347" t="s">
        <v>145</v>
      </c>
    </row>
    <row r="16" spans="24:31" ht="12.75" hidden="1">
      <c r="X16" s="319"/>
      <c r="Y16" s="360" t="s">
        <v>146</v>
      </c>
      <c r="Z16" s="364"/>
      <c r="AA16" s="352" t="s">
        <v>385</v>
      </c>
      <c r="AB16" s="240"/>
      <c r="AC16" s="241">
        <f t="shared" si="0"/>
        <v>18</v>
      </c>
      <c r="AE16" s="347" t="s">
        <v>147</v>
      </c>
    </row>
    <row r="17" spans="24:31" ht="12.75" hidden="1">
      <c r="X17" s="319"/>
      <c r="Y17" s="360" t="s">
        <v>148</v>
      </c>
      <c r="Z17" s="364" t="s">
        <v>141</v>
      </c>
      <c r="AA17" s="352" t="s">
        <v>386</v>
      </c>
      <c r="AB17" s="240"/>
      <c r="AC17" s="241">
        <f t="shared" si="0"/>
        <v>13</v>
      </c>
      <c r="AE17" s="347" t="s">
        <v>149</v>
      </c>
    </row>
    <row r="18" spans="24:31" ht="12.75" hidden="1">
      <c r="X18" s="319"/>
      <c r="Y18" s="360" t="s">
        <v>406</v>
      </c>
      <c r="Z18" s="364" t="s">
        <v>141</v>
      </c>
      <c r="AA18" s="352" t="s">
        <v>387</v>
      </c>
      <c r="AB18" s="240"/>
      <c r="AC18" s="241">
        <f t="shared" si="0"/>
        <v>30</v>
      </c>
      <c r="AE18" s="347" t="s">
        <v>371</v>
      </c>
    </row>
    <row r="19" spans="24:31" ht="12.75" hidden="1">
      <c r="X19" s="319"/>
      <c r="Y19" s="360" t="s">
        <v>326</v>
      </c>
      <c r="Z19" s="364"/>
      <c r="AA19" s="352" t="s">
        <v>388</v>
      </c>
      <c r="AB19" s="240"/>
      <c r="AC19" s="241">
        <f t="shared" si="0"/>
        <v>28</v>
      </c>
      <c r="AE19" s="347" t="s">
        <v>150</v>
      </c>
    </row>
    <row r="20" spans="24:31" ht="12.75" hidden="1">
      <c r="X20" s="319"/>
      <c r="Y20" s="360" t="s">
        <v>151</v>
      </c>
      <c r="Z20" s="364"/>
      <c r="AA20" s="352" t="s">
        <v>389</v>
      </c>
      <c r="AB20" s="240"/>
      <c r="AC20" s="241">
        <f t="shared" si="0"/>
        <v>20</v>
      </c>
      <c r="AE20" s="347" t="s">
        <v>152</v>
      </c>
    </row>
    <row r="21" spans="24:31" ht="12.75" hidden="1">
      <c r="X21" s="319"/>
      <c r="Y21" s="359" t="s">
        <v>153</v>
      </c>
      <c r="Z21" s="363"/>
      <c r="AA21" s="352" t="s">
        <v>390</v>
      </c>
      <c r="AB21" s="240"/>
      <c r="AC21" s="241">
        <f t="shared" si="0"/>
        <v>17</v>
      </c>
      <c r="AE21" s="347" t="s">
        <v>154</v>
      </c>
    </row>
    <row r="22" spans="24:31" ht="12.75" hidden="1">
      <c r="X22" s="319"/>
      <c r="Y22" s="359" t="s">
        <v>155</v>
      </c>
      <c r="Z22" s="363"/>
      <c r="AA22" s="352" t="s">
        <v>391</v>
      </c>
      <c r="AB22" s="240"/>
      <c r="AC22" s="241">
        <f t="shared" si="0"/>
        <v>20</v>
      </c>
      <c r="AE22" s="347" t="s">
        <v>156</v>
      </c>
    </row>
    <row r="23" spans="24:31" ht="12.75" hidden="1">
      <c r="X23" s="319"/>
      <c r="Y23" s="359" t="s">
        <v>330</v>
      </c>
      <c r="Z23" s="363"/>
      <c r="AA23" s="352" t="s">
        <v>392</v>
      </c>
      <c r="AB23" s="240"/>
      <c r="AC23" s="241">
        <f t="shared" si="0"/>
        <v>30</v>
      </c>
      <c r="AE23" s="347" t="s">
        <v>331</v>
      </c>
    </row>
    <row r="24" spans="24:31" ht="12.75" hidden="1">
      <c r="X24" s="319"/>
      <c r="Y24" s="359" t="s">
        <v>321</v>
      </c>
      <c r="Z24" s="363"/>
      <c r="AA24" s="352" t="s">
        <v>393</v>
      </c>
      <c r="AB24" s="240"/>
      <c r="AC24" s="241">
        <f t="shared" si="0"/>
        <v>18</v>
      </c>
      <c r="AE24" s="347" t="s">
        <v>322</v>
      </c>
    </row>
    <row r="25" spans="24:31" ht="12.75" hidden="1">
      <c r="X25" s="319"/>
      <c r="Y25" s="359" t="s">
        <v>323</v>
      </c>
      <c r="Z25" s="363"/>
      <c r="AA25" s="352" t="s">
        <v>394</v>
      </c>
      <c r="AB25" s="240"/>
      <c r="AC25" s="241">
        <f t="shared" si="0"/>
        <v>33</v>
      </c>
      <c r="AE25" s="347" t="s">
        <v>327</v>
      </c>
    </row>
    <row r="26" spans="24:31" ht="12.75" hidden="1">
      <c r="X26" s="319"/>
      <c r="Y26" s="359" t="s">
        <v>320</v>
      </c>
      <c r="Z26" s="363"/>
      <c r="AA26" s="352" t="s">
        <v>395</v>
      </c>
      <c r="AB26" s="240"/>
      <c r="AC26" s="241">
        <f t="shared" si="0"/>
        <v>16</v>
      </c>
      <c r="AE26" s="347" t="s">
        <v>319</v>
      </c>
    </row>
    <row r="27" spans="24:31" ht="12.75" hidden="1">
      <c r="X27" s="319"/>
      <c r="Y27" s="361" t="s">
        <v>157</v>
      </c>
      <c r="Z27" s="365" t="s">
        <v>141</v>
      </c>
      <c r="AA27" s="352" t="s">
        <v>396</v>
      </c>
      <c r="AB27" s="240"/>
      <c r="AC27" s="241">
        <f t="shared" si="0"/>
        <v>7</v>
      </c>
      <c r="AE27" s="347" t="s">
        <v>158</v>
      </c>
    </row>
    <row r="28" spans="24:31" ht="12.75" hidden="1">
      <c r="X28" s="319"/>
      <c r="Y28" s="360" t="s">
        <v>159</v>
      </c>
      <c r="Z28" s="364" t="s">
        <v>141</v>
      </c>
      <c r="AA28" s="352" t="s">
        <v>397</v>
      </c>
      <c r="AB28" s="240"/>
      <c r="AC28" s="241">
        <f t="shared" si="0"/>
        <v>21</v>
      </c>
      <c r="AE28" s="347" t="s">
        <v>160</v>
      </c>
    </row>
    <row r="29" spans="24:31" ht="12.75" hidden="1">
      <c r="X29" s="319"/>
      <c r="Y29" s="359" t="s">
        <v>332</v>
      </c>
      <c r="Z29" s="363" t="s">
        <v>141</v>
      </c>
      <c r="AA29" s="352" t="s">
        <v>398</v>
      </c>
      <c r="AB29" s="240"/>
      <c r="AC29" s="241">
        <f t="shared" si="0"/>
        <v>7</v>
      </c>
      <c r="AE29" s="347" t="s">
        <v>333</v>
      </c>
    </row>
    <row r="30" spans="24:31" ht="12.75" hidden="1">
      <c r="X30" s="319"/>
      <c r="Y30" s="360" t="s">
        <v>13</v>
      </c>
      <c r="Z30" s="364" t="s">
        <v>141</v>
      </c>
      <c r="AA30" s="352" t="s">
        <v>399</v>
      </c>
      <c r="AB30" s="240"/>
      <c r="AC30" s="241">
        <f t="shared" si="0"/>
        <v>7</v>
      </c>
      <c r="AE30" s="347" t="s">
        <v>6</v>
      </c>
    </row>
    <row r="31" spans="24:31" ht="12.75" hidden="1">
      <c r="X31" s="319"/>
      <c r="Y31" s="362" t="s">
        <v>161</v>
      </c>
      <c r="Z31" s="364"/>
      <c r="AA31" s="352" t="s">
        <v>400</v>
      </c>
      <c r="AB31" s="240"/>
      <c r="AC31" s="241">
        <f>LEN(AA31)</f>
        <v>19</v>
      </c>
      <c r="AE31" s="347" t="s">
        <v>162</v>
      </c>
    </row>
    <row r="32" spans="24:31" ht="12.75" hidden="1">
      <c r="X32" s="319"/>
      <c r="Y32" s="362" t="s">
        <v>163</v>
      </c>
      <c r="Z32" s="364"/>
      <c r="AA32" s="352" t="s">
        <v>401</v>
      </c>
      <c r="AB32" s="240"/>
      <c r="AC32" s="241">
        <f t="shared" si="0"/>
        <v>16</v>
      </c>
      <c r="AE32" s="347" t="s">
        <v>164</v>
      </c>
    </row>
    <row r="33" spans="24:31" ht="12.75" hidden="1">
      <c r="X33" s="319"/>
      <c r="Y33" s="361" t="s">
        <v>324</v>
      </c>
      <c r="Z33" s="365"/>
      <c r="AA33" s="353" t="s">
        <v>402</v>
      </c>
      <c r="AB33" s="240"/>
      <c r="AC33" s="241">
        <f t="shared" si="0"/>
        <v>11</v>
      </c>
      <c r="AE33" s="347" t="s">
        <v>325</v>
      </c>
    </row>
    <row r="34" spans="24:31" ht="12.75" hidden="1">
      <c r="X34" s="319"/>
      <c r="Y34" s="240"/>
      <c r="Z34" s="240"/>
      <c r="AA34" s="346" t="s">
        <v>5</v>
      </c>
      <c r="AB34" s="240"/>
      <c r="AC34" s="241"/>
      <c r="AE34" s="347"/>
    </row>
    <row r="35" spans="24:31" ht="12.75" hidden="1">
      <c r="X35" s="319"/>
      <c r="Y35" s="242" t="str">
        <f>IF(OR('общие сведения'!L38=""),"Ошибка !",VLOOKUP('общие сведения'!L38,Y1:AB34,3))</f>
        <v>МУЗЫКАЛЬНОГО РУКОВОДИТЕЛЯ</v>
      </c>
      <c r="Z35" s="243"/>
      <c r="AA35" s="244">
        <f>LEN(Y35)</f>
        <v>25</v>
      </c>
      <c r="AB35" s="245"/>
      <c r="AC35" s="444" t="str">
        <f>IF(AC37="","-",IF(VLOOKUP(AC37,Y2:Z34,2)="v","Специализация","."))</f>
        <v>.</v>
      </c>
      <c r="AE35" s="558" t="str">
        <f>VLOOKUP('общие сведения'!L38,Y1:AE34,7)</f>
        <v>музыкального руководителя</v>
      </c>
    </row>
    <row r="36" spans="24:29" ht="12.75" hidden="1">
      <c r="X36" s="319"/>
      <c r="Y36" s="246">
        <f>IF(ISERR(SEARCH(LEFT(Y35,5),D52)),0,1)</f>
        <v>0</v>
      </c>
      <c r="Z36" s="918"/>
      <c r="AA36" s="918"/>
      <c r="AB36" s="247"/>
      <c r="AC36" s="241"/>
    </row>
    <row r="37" spans="24:29" ht="12.75" hidden="1">
      <c r="X37" s="319"/>
      <c r="Y37" s="240" t="str">
        <f>IF(AND(AA35&lt;31,Y36=1),Y35,AE35)</f>
        <v>музыкального руководителя</v>
      </c>
      <c r="Z37" s="326"/>
      <c r="AA37" s="326"/>
      <c r="AB37" s="327"/>
      <c r="AC37" s="515" t="str">
        <f>'общие сведения'!B38</f>
        <v>музыкальный руководитель</v>
      </c>
    </row>
    <row r="38" spans="24:29" ht="12.75" hidden="1">
      <c r="X38" s="319"/>
      <c r="Y38" s="240"/>
      <c r="Z38" s="326"/>
      <c r="AA38" s="326"/>
      <c r="AB38" s="327"/>
      <c r="AC38" s="190"/>
    </row>
    <row r="39" spans="24:29" ht="12.75" hidden="1">
      <c r="X39" s="319"/>
      <c r="Y39" s="240"/>
      <c r="Z39" s="326"/>
      <c r="AA39" s="326"/>
      <c r="AB39" s="327"/>
      <c r="AC39" s="190"/>
    </row>
    <row r="40" spans="1:35" ht="15" customHeight="1">
      <c r="A40" s="743" t="s">
        <v>181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  <c r="S40" s="743"/>
      <c r="T40" s="743"/>
      <c r="U40" s="743"/>
      <c r="V40" s="743"/>
      <c r="W40" s="743"/>
      <c r="X40" s="537" t="str">
        <f>'общие сведения'!T1</f>
        <v> ЭЗ - 05. 2021 г.</v>
      </c>
      <c r="Y40" s="387"/>
      <c r="AG40" s="189"/>
      <c r="AH40" s="530"/>
      <c r="AI40" s="189"/>
    </row>
    <row r="41" spans="1:35" ht="3" customHeight="1">
      <c r="A41" s="743"/>
      <c r="B41" s="743"/>
      <c r="C41" s="743"/>
      <c r="D41" s="743"/>
      <c r="E41" s="743"/>
      <c r="F41" s="743"/>
      <c r="G41" s="743"/>
      <c r="H41" s="743"/>
      <c r="I41" s="743"/>
      <c r="J41" s="743"/>
      <c r="K41" s="743"/>
      <c r="L41" s="743"/>
      <c r="M41" s="743"/>
      <c r="N41" s="743"/>
      <c r="O41" s="743"/>
      <c r="P41" s="743"/>
      <c r="Q41" s="743"/>
      <c r="R41" s="743"/>
      <c r="S41" s="743"/>
      <c r="T41" s="743"/>
      <c r="U41" s="743"/>
      <c r="V41" s="743"/>
      <c r="W41" s="743"/>
      <c r="X41" s="516" t="str">
        <f>'общие сведения'!T2</f>
        <v># 4</v>
      </c>
      <c r="AG41" s="189"/>
      <c r="AH41" s="530"/>
      <c r="AI41" s="189"/>
    </row>
    <row r="42" spans="1:35" ht="15" customHeight="1">
      <c r="A42" s="919" t="s">
        <v>588</v>
      </c>
      <c r="B42" s="919"/>
      <c r="C42" s="919"/>
      <c r="D42" s="919"/>
      <c r="E42" s="919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516" t="str">
        <f>'общие сведения'!T2</f>
        <v># 4</v>
      </c>
      <c r="AG42" s="189"/>
      <c r="AH42" s="530"/>
      <c r="AI42" s="189"/>
    </row>
    <row r="43" spans="1:35" ht="12.75">
      <c r="A43" s="919"/>
      <c r="B43" s="919"/>
      <c r="C43" s="919"/>
      <c r="D43" s="919"/>
      <c r="E43" s="919"/>
      <c r="F43" s="919"/>
      <c r="G43" s="919"/>
      <c r="H43" s="919"/>
      <c r="I43" s="919"/>
      <c r="J43" s="919"/>
      <c r="K43" s="919"/>
      <c r="L43" s="919"/>
      <c r="M43" s="919"/>
      <c r="N43" s="919"/>
      <c r="O43" s="919"/>
      <c r="P43" s="919"/>
      <c r="Q43" s="919"/>
      <c r="R43" s="919"/>
      <c r="S43" s="919"/>
      <c r="T43" s="919"/>
      <c r="U43" s="919"/>
      <c r="V43" s="919"/>
      <c r="W43" s="919"/>
      <c r="X43" s="516"/>
      <c r="AG43" s="189"/>
      <c r="AH43" s="530"/>
      <c r="AI43" s="189"/>
    </row>
    <row r="44" spans="1:35" ht="12.75">
      <c r="A44" s="919"/>
      <c r="B44" s="919"/>
      <c r="C44" s="919"/>
      <c r="D44" s="919"/>
      <c r="E44" s="919"/>
      <c r="F44" s="919"/>
      <c r="G44" s="919"/>
      <c r="H44" s="919"/>
      <c r="I44" s="919"/>
      <c r="J44" s="919"/>
      <c r="K44" s="919"/>
      <c r="L44" s="919"/>
      <c r="M44" s="919"/>
      <c r="N44" s="919"/>
      <c r="O44" s="919"/>
      <c r="P44" s="919"/>
      <c r="Q44" s="919"/>
      <c r="R44" s="919"/>
      <c r="S44" s="919"/>
      <c r="T44" s="919"/>
      <c r="U44" s="919"/>
      <c r="V44" s="919"/>
      <c r="W44" s="919"/>
      <c r="X44" s="516"/>
      <c r="AG44" s="189"/>
      <c r="AH44" s="530"/>
      <c r="AI44" s="189"/>
    </row>
    <row r="45" spans="1:35" ht="18" customHeight="1">
      <c r="A45" s="921" t="s">
        <v>182</v>
      </c>
      <c r="B45" s="921"/>
      <c r="C45" s="921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516"/>
      <c r="AG45" s="189"/>
      <c r="AH45" s="530"/>
      <c r="AI45" s="189"/>
    </row>
    <row r="46" spans="1:35" ht="6.75" customHeight="1">
      <c r="A46" s="921"/>
      <c r="B46" s="921"/>
      <c r="C46" s="921"/>
      <c r="D46" s="921"/>
      <c r="E46" s="921"/>
      <c r="F46" s="921"/>
      <c r="G46" s="921"/>
      <c r="H46" s="921"/>
      <c r="I46" s="921"/>
      <c r="J46" s="921"/>
      <c r="K46" s="921"/>
      <c r="L46" s="921"/>
      <c r="M46" s="921"/>
      <c r="N46" s="921"/>
      <c r="O46" s="921"/>
      <c r="P46" s="921"/>
      <c r="Q46" s="921"/>
      <c r="R46" s="921"/>
      <c r="S46" s="921"/>
      <c r="T46" s="921"/>
      <c r="U46" s="921"/>
      <c r="V46" s="921"/>
      <c r="W46" s="921"/>
      <c r="X46" s="516"/>
      <c r="AG46" s="189"/>
      <c r="AH46" s="530"/>
      <c r="AI46" s="189"/>
    </row>
    <row r="47" spans="1:35" ht="12.75">
      <c r="A47" s="180" t="s">
        <v>9</v>
      </c>
      <c r="E47" s="920">
        <f>'общие сведения'!L30</f>
      </c>
      <c r="F47" s="920"/>
      <c r="G47" s="920"/>
      <c r="H47" s="920"/>
      <c r="I47" s="920"/>
      <c r="J47" s="920"/>
      <c r="K47" s="920"/>
      <c r="L47" s="920"/>
      <c r="M47" s="920"/>
      <c r="N47" s="920"/>
      <c r="O47" s="920"/>
      <c r="P47" s="920"/>
      <c r="Q47" s="920"/>
      <c r="R47" s="920"/>
      <c r="S47" s="920"/>
      <c r="T47" s="920"/>
      <c r="U47" s="920"/>
      <c r="V47" s="920"/>
      <c r="W47" s="920"/>
      <c r="X47" s="516"/>
      <c r="AG47" s="189"/>
      <c r="AH47" s="530"/>
      <c r="AI47" s="189"/>
    </row>
    <row r="48" spans="1:35" ht="12.75">
      <c r="A48" s="180" t="s">
        <v>11</v>
      </c>
      <c r="C48" s="914">
        <f>IF(FIO="","",'общие сведения'!L34)</f>
      </c>
      <c r="D48" s="914"/>
      <c r="E48" s="914"/>
      <c r="F48" s="914"/>
      <c r="G48" s="914"/>
      <c r="H48" s="914"/>
      <c r="I48" s="914"/>
      <c r="J48" s="914"/>
      <c r="K48" s="914"/>
      <c r="L48" s="914"/>
      <c r="M48" s="914"/>
      <c r="N48" s="914"/>
      <c r="O48" s="914"/>
      <c r="P48" s="914"/>
      <c r="Q48" s="914"/>
      <c r="R48" s="914"/>
      <c r="S48" s="914"/>
      <c r="T48" s="914"/>
      <c r="U48" s="914"/>
      <c r="V48" s="914"/>
      <c r="W48" s="914"/>
      <c r="X48" s="516"/>
      <c r="AG48" s="189"/>
      <c r="AH48" s="530"/>
      <c r="AI48" s="189"/>
    </row>
    <row r="49" spans="1:35" ht="12.75" customHeight="1">
      <c r="A49" s="914">
        <f>IF(FIO="","",'общие сведения'!L35)</f>
      </c>
      <c r="B49" s="914"/>
      <c r="C49" s="914"/>
      <c r="D49" s="914"/>
      <c r="E49" s="914"/>
      <c r="F49" s="914"/>
      <c r="G49" s="914"/>
      <c r="H49" s="914"/>
      <c r="I49" s="914"/>
      <c r="J49" s="914"/>
      <c r="K49" s="914"/>
      <c r="L49" s="914"/>
      <c r="M49" s="914"/>
      <c r="N49" s="914"/>
      <c r="O49" s="914"/>
      <c r="P49" s="914"/>
      <c r="Q49" s="914"/>
      <c r="R49" s="914"/>
      <c r="S49" s="914"/>
      <c r="T49" s="914"/>
      <c r="U49" s="914"/>
      <c r="V49" s="914"/>
      <c r="W49" s="914"/>
      <c r="X49" s="516"/>
      <c r="AG49" s="189"/>
      <c r="AH49" s="530"/>
      <c r="AI49" s="189"/>
    </row>
    <row r="50" spans="1:35" ht="12.75">
      <c r="A50" s="914">
        <f>IF(FIO="","",'общие сведения'!L36)</f>
      </c>
      <c r="B50" s="914"/>
      <c r="C50" s="914"/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4"/>
      <c r="U50" s="914"/>
      <c r="V50" s="914"/>
      <c r="W50" s="914"/>
      <c r="X50" s="516"/>
      <c r="AG50" s="189"/>
      <c r="AH50" s="530"/>
      <c r="AI50" s="189"/>
    </row>
    <row r="51" spans="1:35" ht="12.75">
      <c r="A51" s="180" t="s">
        <v>10</v>
      </c>
      <c r="E51" s="258">
        <f>IF(FIO="","",'общие сведения'!L32)</f>
      </c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516"/>
      <c r="AG51" s="189"/>
      <c r="AH51" s="530"/>
      <c r="AI51" s="189"/>
    </row>
    <row r="52" spans="1:35" ht="12.75" customHeight="1">
      <c r="A52" s="180" t="s">
        <v>12</v>
      </c>
      <c r="D52" s="226">
        <f>IF(FIO="","",'общие сведения'!L38)</f>
      </c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516"/>
      <c r="AG52" s="189"/>
      <c r="AH52" s="530"/>
      <c r="AI52" s="189"/>
    </row>
    <row r="53" spans="1:35" ht="12.75" customHeight="1">
      <c r="A53" s="180" t="s">
        <v>183</v>
      </c>
      <c r="D53" s="226">
        <f>IF(FIO="","",'общие сведения'!L39)</f>
      </c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516"/>
      <c r="AG53" s="189"/>
      <c r="AH53" s="530"/>
      <c r="AI53" s="189"/>
    </row>
    <row r="54" spans="1:35" ht="12.75">
      <c r="A54" s="180" t="s">
        <v>14</v>
      </c>
      <c r="E54" s="252">
        <f>IF(FIO="","",'общие сведения'!D44)</f>
      </c>
      <c r="F54" s="252">
        <f>IF(FIO="","",'общие сведения'!E44)</f>
      </c>
      <c r="G54" s="258"/>
      <c r="H54" s="223"/>
      <c r="I54" s="185"/>
      <c r="J54" s="185"/>
      <c r="X54" s="516"/>
      <c r="AG54" s="189"/>
      <c r="AH54" s="530"/>
      <c r="AI54" s="189"/>
    </row>
    <row r="55" spans="1:35" ht="12.75">
      <c r="A55" s="180" t="s">
        <v>15</v>
      </c>
      <c r="G55" s="906">
        <f>IF(OR(FIO="",'общие сведения'!D46=""),"",'общие сведения'!D46)</f>
      </c>
      <c r="H55" s="906"/>
      <c r="I55" s="182"/>
      <c r="J55" s="182"/>
      <c r="K55" s="916" t="s">
        <v>16</v>
      </c>
      <c r="L55" s="916"/>
      <c r="M55" s="916"/>
      <c r="N55" s="916"/>
      <c r="O55" s="916"/>
      <c r="P55" s="915">
        <f>'общие сведения'!K46</f>
      </c>
      <c r="Q55" s="915"/>
      <c r="R55" s="915"/>
      <c r="S55" s="915"/>
      <c r="X55" s="516"/>
      <c r="AG55" s="189"/>
      <c r="AH55" s="530"/>
      <c r="AI55" s="189"/>
    </row>
    <row r="56" spans="1:35" ht="12.75">
      <c r="A56" s="180" t="s">
        <v>18</v>
      </c>
      <c r="G56" s="906">
        <f>IF(OR(FIO="",'общие сведения'!D48=""),"",'общие сведения'!D48)</f>
      </c>
      <c r="H56" s="906"/>
      <c r="I56" s="182"/>
      <c r="J56" s="182"/>
      <c r="X56" s="516"/>
      <c r="AG56" s="189"/>
      <c r="AH56" s="530"/>
      <c r="AI56" s="189"/>
    </row>
    <row r="57" spans="1:35" ht="12.75">
      <c r="A57" s="180" t="s">
        <v>19</v>
      </c>
      <c r="C57" s="226">
        <f>IF(FIO="","",'общие сведения'!B50)</f>
      </c>
      <c r="D57" s="223"/>
      <c r="E57" s="223"/>
      <c r="F57" s="223"/>
      <c r="G57" s="223"/>
      <c r="H57" s="223"/>
      <c r="I57" s="185"/>
      <c r="J57" s="185"/>
      <c r="X57" s="516"/>
      <c r="Z57" s="407"/>
      <c r="AG57" s="189"/>
      <c r="AH57" s="530"/>
      <c r="AI57" s="189"/>
    </row>
    <row r="58" spans="1:35" ht="2.25" customHeight="1">
      <c r="A58" s="180"/>
      <c r="C58" s="228"/>
      <c r="D58" s="185"/>
      <c r="E58" s="185"/>
      <c r="F58" s="185"/>
      <c r="G58" s="185"/>
      <c r="H58" s="185"/>
      <c r="I58" s="185"/>
      <c r="J58" s="185"/>
      <c r="X58" s="516"/>
      <c r="AG58" s="189"/>
      <c r="AH58" s="530"/>
      <c r="AI58" s="189"/>
    </row>
    <row r="59" spans="1:35" ht="12.75" customHeight="1">
      <c r="A59" s="907">
        <f>IF(FIO="","",CLEAN('общие сведения'!L53&amp;" "&amp;'общие сведения'!L57&amp;" "&amp;'общие сведения'!L61))</f>
      </c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7"/>
      <c r="P59" s="907"/>
      <c r="Q59" s="907"/>
      <c r="R59" s="907"/>
      <c r="S59" s="907"/>
      <c r="T59" s="907"/>
      <c r="U59" s="907"/>
      <c r="V59" s="907"/>
      <c r="W59" s="907"/>
      <c r="X59" s="516"/>
      <c r="Y59" s="370">
        <f>IF(ISERR(SEARCH(Z59,$A$59&amp;$A$67)),0,1)</f>
        <v>0</v>
      </c>
      <c r="Z59" s="377" t="s">
        <v>466</v>
      </c>
      <c r="AG59" s="189"/>
      <c r="AH59" s="530"/>
      <c r="AI59" s="189"/>
    </row>
    <row r="60" spans="1:35" ht="12.75" customHeight="1">
      <c r="A60" s="907"/>
      <c r="B60" s="907"/>
      <c r="C60" s="907"/>
      <c r="D60" s="907"/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516"/>
      <c r="Y60" s="370">
        <f>IF(ISERR(SEARCH(Z60,$A$59&amp;$A$67)),0,1)</f>
        <v>0</v>
      </c>
      <c r="Z60" s="377" t="s">
        <v>467</v>
      </c>
      <c r="AG60" s="189"/>
      <c r="AH60" s="530"/>
      <c r="AI60" s="189"/>
    </row>
    <row r="61" spans="1:35" ht="12.75" customHeight="1">
      <c r="A61" s="907"/>
      <c r="B61" s="907"/>
      <c r="C61" s="907"/>
      <c r="D61" s="907"/>
      <c r="E61" s="907"/>
      <c r="F61" s="907"/>
      <c r="G61" s="907"/>
      <c r="H61" s="907"/>
      <c r="I61" s="907"/>
      <c r="J61" s="907"/>
      <c r="K61" s="907"/>
      <c r="L61" s="907"/>
      <c r="M61" s="907"/>
      <c r="N61" s="907"/>
      <c r="O61" s="907"/>
      <c r="P61" s="907"/>
      <c r="Q61" s="907"/>
      <c r="R61" s="907"/>
      <c r="S61" s="907"/>
      <c r="T61" s="907"/>
      <c r="U61" s="907"/>
      <c r="V61" s="907"/>
      <c r="W61" s="907"/>
      <c r="X61" s="516"/>
      <c r="Y61" s="370">
        <f>IF(ISERR(SEARCH(Z61,$A$59&amp;$A$67)),0,1)</f>
        <v>0</v>
      </c>
      <c r="Z61" s="377" t="s">
        <v>468</v>
      </c>
      <c r="AG61" s="189"/>
      <c r="AH61" s="530"/>
      <c r="AI61" s="189"/>
    </row>
    <row r="62" spans="1:35" ht="12.75" customHeight="1">
      <c r="A62" s="907"/>
      <c r="B62" s="907"/>
      <c r="C62" s="907"/>
      <c r="D62" s="907"/>
      <c r="E62" s="907"/>
      <c r="F62" s="907"/>
      <c r="G62" s="907"/>
      <c r="H62" s="907"/>
      <c r="I62" s="907"/>
      <c r="J62" s="907"/>
      <c r="K62" s="907"/>
      <c r="L62" s="907"/>
      <c r="M62" s="907"/>
      <c r="N62" s="907"/>
      <c r="O62" s="907"/>
      <c r="P62" s="907"/>
      <c r="Q62" s="907"/>
      <c r="R62" s="907"/>
      <c r="S62" s="907"/>
      <c r="T62" s="907"/>
      <c r="U62" s="907"/>
      <c r="V62" s="907"/>
      <c r="W62" s="907"/>
      <c r="X62" s="516"/>
      <c r="Y62" s="408" t="str">
        <f>IF(SUM(Y59:Y61)&gt;0,"да","нет")</f>
        <v>нет</v>
      </c>
      <c r="Z62" s="409" t="s">
        <v>469</v>
      </c>
      <c r="AG62" s="189"/>
      <c r="AH62" s="530"/>
      <c r="AI62" s="189"/>
    </row>
    <row r="63" spans="1:65" ht="12.75">
      <c r="A63" s="907"/>
      <c r="B63" s="907"/>
      <c r="C63" s="907"/>
      <c r="D63" s="907"/>
      <c r="E63" s="907"/>
      <c r="F63" s="907"/>
      <c r="G63" s="907"/>
      <c r="H63" s="907"/>
      <c r="I63" s="907"/>
      <c r="J63" s="907"/>
      <c r="K63" s="907"/>
      <c r="L63" s="907"/>
      <c r="M63" s="907"/>
      <c r="N63" s="907"/>
      <c r="O63" s="907"/>
      <c r="P63" s="907"/>
      <c r="Q63" s="907"/>
      <c r="R63" s="907"/>
      <c r="S63" s="907"/>
      <c r="T63" s="907"/>
      <c r="U63" s="907"/>
      <c r="V63" s="907"/>
      <c r="W63" s="907"/>
      <c r="X63" s="516"/>
      <c r="Y63" s="229"/>
      <c r="Z63" s="229"/>
      <c r="AA63" s="229"/>
      <c r="AB63" s="229"/>
      <c r="AC63" s="229"/>
      <c r="AD63" s="229"/>
      <c r="AE63" s="559"/>
      <c r="AF63" s="559"/>
      <c r="AG63" s="189"/>
      <c r="AH63" s="530"/>
      <c r="AI63" s="18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</row>
    <row r="64" spans="1:65" ht="15.75" customHeight="1">
      <c r="A64" s="187" t="s">
        <v>184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516"/>
      <c r="Y64" s="229"/>
      <c r="Z64" s="229"/>
      <c r="AA64" s="229"/>
      <c r="AB64" s="229"/>
      <c r="AC64" s="229"/>
      <c r="AD64" s="229"/>
      <c r="AE64" s="559"/>
      <c r="AF64" s="559"/>
      <c r="AG64" s="189"/>
      <c r="AH64" s="530"/>
      <c r="AI64" s="18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</row>
    <row r="65" spans="1:65" ht="15.75" customHeight="1">
      <c r="A65" s="188" t="str">
        <f>'общие сведения'!A77</f>
        <v>Курсы повышения квалификации</v>
      </c>
      <c r="B65" s="229"/>
      <c r="C65" s="229"/>
      <c r="D65" s="229"/>
      <c r="E65" s="229"/>
      <c r="F65" s="229"/>
      <c r="G65" s="229"/>
      <c r="K65" s="991">
        <f>IF(FIO="","",'общие сведения'!G77)</f>
      </c>
      <c r="L65" s="991"/>
      <c r="M65" s="180" t="s">
        <v>185</v>
      </c>
      <c r="N65" s="333"/>
      <c r="T65" s="189"/>
      <c r="U65" s="189"/>
      <c r="V65" s="189"/>
      <c r="W65" s="229"/>
      <c r="X65" s="516"/>
      <c r="Y65" s="229"/>
      <c r="Z65" s="229"/>
      <c r="AA65" s="229"/>
      <c r="AB65" s="229"/>
      <c r="AC65" s="229"/>
      <c r="AD65" s="229"/>
      <c r="AE65" s="559"/>
      <c r="AF65" s="559"/>
      <c r="AG65" s="189"/>
      <c r="AH65" s="530"/>
      <c r="AI65" s="18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</row>
    <row r="66" spans="1:65" ht="12.75">
      <c r="A66" s="188" t="str">
        <f>"Дополнительное профессиональное образование"&amp;'общие сведения'!M70</f>
        <v>Дополнительное профессиональное образование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516"/>
      <c r="Y66" s="229"/>
      <c r="Z66" s="229"/>
      <c r="AA66" s="229"/>
      <c r="AB66" s="229"/>
      <c r="AC66" s="229"/>
      <c r="AD66" s="229"/>
      <c r="AE66" s="559"/>
      <c r="AF66" s="559"/>
      <c r="AG66" s="189"/>
      <c r="AH66" s="530"/>
      <c r="AI66" s="18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</row>
    <row r="67" spans="1:35" ht="12.75" customHeight="1">
      <c r="A67" s="907">
        <f>IF(FIO="","",CLEAN('общие сведения'!L72))</f>
      </c>
      <c r="B67" s="907"/>
      <c r="C67" s="907"/>
      <c r="D67" s="907"/>
      <c r="E67" s="907"/>
      <c r="F67" s="907"/>
      <c r="G67" s="907"/>
      <c r="H67" s="907"/>
      <c r="I67" s="907"/>
      <c r="J67" s="907"/>
      <c r="K67" s="907"/>
      <c r="L67" s="907"/>
      <c r="M67" s="907"/>
      <c r="N67" s="907"/>
      <c r="O67" s="907"/>
      <c r="P67" s="907"/>
      <c r="Q67" s="907"/>
      <c r="R67" s="907"/>
      <c r="S67" s="907"/>
      <c r="T67" s="907"/>
      <c r="U67" s="907"/>
      <c r="V67" s="907"/>
      <c r="W67" s="907"/>
      <c r="X67" s="516"/>
      <c r="AG67" s="189"/>
      <c r="AH67" s="530"/>
      <c r="AI67" s="189"/>
    </row>
    <row r="68" spans="1:35" ht="12.75" customHeight="1">
      <c r="A68" s="907"/>
      <c r="B68" s="907"/>
      <c r="C68" s="907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7"/>
      <c r="S68" s="907"/>
      <c r="T68" s="907"/>
      <c r="U68" s="907"/>
      <c r="V68" s="907"/>
      <c r="W68" s="907"/>
      <c r="X68" s="516"/>
      <c r="AG68" s="189"/>
      <c r="AH68" s="530"/>
      <c r="AI68" s="189"/>
    </row>
    <row r="69" spans="1:35" ht="12.75" customHeight="1">
      <c r="A69" s="907"/>
      <c r="B69" s="907"/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7"/>
      <c r="Q69" s="907"/>
      <c r="R69" s="907"/>
      <c r="S69" s="907"/>
      <c r="T69" s="907"/>
      <c r="U69" s="907"/>
      <c r="V69" s="907"/>
      <c r="W69" s="907"/>
      <c r="X69" s="516"/>
      <c r="AG69" s="189"/>
      <c r="AH69" s="530"/>
      <c r="AI69" s="189"/>
    </row>
    <row r="70" spans="1:35" ht="12.75" customHeight="1">
      <c r="A70" s="907"/>
      <c r="B70" s="907"/>
      <c r="C70" s="907"/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516"/>
      <c r="AG70" s="189"/>
      <c r="AH70" s="530"/>
      <c r="AI70" s="189"/>
    </row>
    <row r="71" spans="1:35" ht="21" customHeight="1">
      <c r="A71" s="187" t="s">
        <v>186</v>
      </c>
      <c r="X71" s="516"/>
      <c r="AD71" s="377" t="str">
        <f>'общие сведения'!M10</f>
        <v>порог для __первая__музыкальный руководитель</v>
      </c>
      <c r="AG71" s="189"/>
      <c r="AH71" s="530"/>
      <c r="AI71" s="189"/>
    </row>
    <row r="72" spans="1:35" ht="12.75">
      <c r="A72" s="908" t="s">
        <v>187</v>
      </c>
      <c r="B72" s="908"/>
      <c r="C72" s="908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516"/>
      <c r="AB72" s="370" t="s">
        <v>418</v>
      </c>
      <c r="AC72" s="5">
        <f>z_kateg</f>
      </c>
      <c r="AD72" s="301">
        <f>'общие сведения'!P10</f>
        <v>200</v>
      </c>
      <c r="AG72" s="189"/>
      <c r="AH72" s="530"/>
      <c r="AI72" s="189"/>
    </row>
    <row r="73" spans="1:35" ht="12.75">
      <c r="A73" s="908"/>
      <c r="B73" s="908"/>
      <c r="C73" s="908"/>
      <c r="D73" s="908"/>
      <c r="E73" s="908"/>
      <c r="F73" s="908"/>
      <c r="G73" s="908"/>
      <c r="H73" s="908"/>
      <c r="I73" s="908"/>
      <c r="J73" s="908"/>
      <c r="K73" s="908"/>
      <c r="L73" s="908"/>
      <c r="M73" s="908"/>
      <c r="N73" s="908"/>
      <c r="O73" s="908"/>
      <c r="P73" s="908"/>
      <c r="Q73" s="908"/>
      <c r="R73" s="908"/>
      <c r="S73" s="908"/>
      <c r="T73" s="908"/>
      <c r="U73" s="908"/>
      <c r="V73" s="908"/>
      <c r="W73" s="908"/>
      <c r="X73" s="516"/>
      <c r="AB73" s="370" t="str">
        <f>AB159</f>
        <v>наличие внешних мониторингов </v>
      </c>
      <c r="AC73" s="5" t="str">
        <f>AB160</f>
        <v>нет</v>
      </c>
      <c r="AG73" s="189"/>
      <c r="AH73" s="530"/>
      <c r="AI73" s="189"/>
    </row>
    <row r="74" spans="1:35" ht="12.75">
      <c r="A74" s="908"/>
      <c r="B74" s="908"/>
      <c r="C74" s="908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516"/>
      <c r="AG74" s="189"/>
      <c r="AH74" s="530"/>
      <c r="AI74" s="189"/>
    </row>
    <row r="75" spans="1:65" ht="12.75" customHeight="1">
      <c r="A75" s="180" t="s">
        <v>188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516"/>
      <c r="Y75" s="191"/>
      <c r="Z75" s="263"/>
      <c r="AB75" s="263" t="s">
        <v>209</v>
      </c>
      <c r="AC75" s="263" t="s">
        <v>281</v>
      </c>
      <c r="AD75" s="300"/>
      <c r="AE75" s="560" t="s">
        <v>408</v>
      </c>
      <c r="AG75" s="189"/>
      <c r="AH75" s="530"/>
      <c r="AI75" s="189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</row>
    <row r="76" spans="1:35" ht="12.75">
      <c r="A76" s="259" t="s">
        <v>189</v>
      </c>
      <c r="B76" s="180" t="str">
        <f>B112</f>
        <v>Продуктивность образовательной деятельности</v>
      </c>
      <c r="T76" s="13"/>
      <c r="U76" s="257">
        <f>IF(FIO="","",итого_1)</f>
      </c>
      <c r="V76" s="159"/>
      <c r="W76" s="186" t="s">
        <v>190</v>
      </c>
      <c r="X76" s="516"/>
      <c r="Z76" s="369" t="s">
        <v>409</v>
      </c>
      <c r="AB76" s="281">
        <f>AB112</f>
        <v>100</v>
      </c>
      <c r="AC76" s="329">
        <f>AC112</f>
        <v>60</v>
      </c>
      <c r="AD76" s="202"/>
      <c r="AE76" s="561" t="b">
        <f>U76&gt;=AC76</f>
        <v>1</v>
      </c>
      <c r="AF76" s="315">
        <f>IF(AG76&gt;=AC76,1,0)</f>
        <v>0</v>
      </c>
      <c r="AG76" s="189"/>
      <c r="AH76" s="530"/>
      <c r="AI76" s="189"/>
    </row>
    <row r="77" spans="1:35" ht="12.75">
      <c r="A77" s="259" t="s">
        <v>191</v>
      </c>
      <c r="B77" s="180" t="str">
        <f>B163</f>
        <v>Продуктивность деятельности педагогического работника по развитию 
обучающихся/воспитанников</v>
      </c>
      <c r="T77" s="13"/>
      <c r="U77" s="253">
        <f>IF(FIO="","",итого_2)</f>
      </c>
      <c r="V77" s="331"/>
      <c r="W77" s="186" t="s">
        <v>190</v>
      </c>
      <c r="X77" s="516"/>
      <c r="Z77" s="369" t="s">
        <v>410</v>
      </c>
      <c r="AB77" s="281">
        <f>AB163</f>
        <v>220</v>
      </c>
      <c r="AC77" s="329">
        <f>AC163</f>
        <v>10</v>
      </c>
      <c r="AD77" s="202"/>
      <c r="AE77" s="561" t="b">
        <f>U77&gt;=AC77</f>
        <v>1</v>
      </c>
      <c r="AF77" s="315">
        <f>IF(AG77&gt;=AC77,1,0)</f>
        <v>0</v>
      </c>
      <c r="AG77" s="189"/>
      <c r="AH77" s="530"/>
      <c r="AI77" s="189"/>
    </row>
    <row r="78" spans="1:35" ht="12.75">
      <c r="A78" s="259" t="s">
        <v>192</v>
      </c>
      <c r="B78" s="180" t="str">
        <f>B218</f>
        <v>Продуктивность личного вклада педагогического работника в повышение качества образования</v>
      </c>
      <c r="T78" s="13"/>
      <c r="U78" s="254">
        <f>IF(FIO="","",итого_3)</f>
      </c>
      <c r="V78" s="331"/>
      <c r="W78" s="186" t="s">
        <v>190</v>
      </c>
      <c r="X78" s="516"/>
      <c r="Z78" s="369" t="s">
        <v>411</v>
      </c>
      <c r="AB78" s="281">
        <f>AB219</f>
        <v>950</v>
      </c>
      <c r="AC78" s="329">
        <f>AC219</f>
        <v>130</v>
      </c>
      <c r="AD78" s="202"/>
      <c r="AE78" s="561" t="b">
        <f>U78&gt;=AC78</f>
        <v>1</v>
      </c>
      <c r="AF78" s="315">
        <f>IF(AG78&gt;=AC78,1,0)</f>
        <v>0</v>
      </c>
      <c r="AG78" s="189"/>
      <c r="AH78" s="530"/>
      <c r="AI78" s="189"/>
    </row>
    <row r="79" spans="1:35" ht="12.75">
      <c r="A79" s="259" t="s">
        <v>193</v>
      </c>
      <c r="B79" s="180" t="str">
        <f>B401</f>
        <v>Профессиональная компетентность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3"/>
      <c r="U79" s="254">
        <f>IF(FIO="","",итого_4)</f>
      </c>
      <c r="V79" s="331"/>
      <c r="W79" s="186" t="s">
        <v>190</v>
      </c>
      <c r="X79" s="516"/>
      <c r="Z79" s="369" t="s">
        <v>412</v>
      </c>
      <c r="AB79" s="281">
        <f>AB401</f>
        <v>250</v>
      </c>
      <c r="AC79" s="281">
        <f>AC401</f>
        <v>0</v>
      </c>
      <c r="AD79" s="310"/>
      <c r="AE79" s="561" t="b">
        <f>U79&gt;=AC79</f>
        <v>1</v>
      </c>
      <c r="AF79" s="315">
        <f>IF(AG79&gt;=AC79,1,0)</f>
        <v>1</v>
      </c>
      <c r="AG79" s="189"/>
      <c r="AH79" s="530"/>
      <c r="AI79" s="189"/>
    </row>
    <row r="80" spans="20:35" ht="3" customHeight="1">
      <c r="T80" s="13"/>
      <c r="U80" s="259"/>
      <c r="V80" s="259"/>
      <c r="W80" s="192"/>
      <c r="X80" s="516"/>
      <c r="AD80" s="300"/>
      <c r="AG80" s="189"/>
      <c r="AH80" s="530"/>
      <c r="AI80" s="189"/>
    </row>
    <row r="81" spans="2:35" ht="12.75">
      <c r="B81" s="234" t="s">
        <v>278</v>
      </c>
      <c r="T81" s="13"/>
      <c r="U81" s="251">
        <f>IF(FIO="","",Всего)</f>
      </c>
      <c r="V81" s="182"/>
      <c r="W81" s="186" t="s">
        <v>190</v>
      </c>
      <c r="X81" s="516"/>
      <c r="Y81" s="380" t="s">
        <v>420</v>
      </c>
      <c r="Z81" s="381">
        <f>IF(FIO="","",SUM(U76:U79))</f>
      </c>
      <c r="AA81" s="5" t="s">
        <v>419</v>
      </c>
      <c r="AB81" s="281">
        <f>SUM(AB76:AB79)</f>
        <v>1520</v>
      </c>
      <c r="AC81" s="329">
        <f>SUM(AC76:AC79)</f>
        <v>200</v>
      </c>
      <c r="AD81" s="311"/>
      <c r="AE81" s="562" t="str">
        <f>IF(AF81&gt;3," СООТВЕТСТВУЕТ","  НЕ СООТВЕТСТВУЕТ")</f>
        <v>  НЕ СООТВЕТСТВУЕТ</v>
      </c>
      <c r="AF81" s="315">
        <f>SUM(AF76:AF80)</f>
        <v>1</v>
      </c>
      <c r="AG81" s="189"/>
      <c r="AH81" s="530"/>
      <c r="AI81" s="189"/>
    </row>
    <row r="82" spans="23:35" ht="12" customHeight="1">
      <c r="W82" s="191"/>
      <c r="X82" s="516"/>
      <c r="Y82" s="378" t="s">
        <v>508</v>
      </c>
      <c r="Z82" s="379">
        <f>IF(H84="","",IF(Всего&gt;=AD72," СООТВЕТСТВУЕТ","  НЕ СООТВЕТСТВУЕТ"))</f>
      </c>
      <c r="AD82" s="308"/>
      <c r="AE82" s="563"/>
      <c r="AF82" s="563"/>
      <c r="AG82" s="189"/>
      <c r="AH82" s="530"/>
      <c r="AI82" s="189"/>
    </row>
    <row r="83" spans="1:35" s="179" customFormat="1" ht="12.75">
      <c r="A83" s="348" t="s">
        <v>461</v>
      </c>
      <c r="B83" s="340"/>
      <c r="C83" s="340"/>
      <c r="D83" s="340"/>
      <c r="E83" s="416"/>
      <c r="F83" s="416"/>
      <c r="G83" s="349"/>
      <c r="H83" s="349"/>
      <c r="I83" s="349"/>
      <c r="K83" s="417">
        <f>IF(OR(Всего="",FIO=""),"",Y35&amp;Z82)</f>
      </c>
      <c r="L83" s="349"/>
      <c r="M83" s="349"/>
      <c r="N83" s="349"/>
      <c r="O83" s="349"/>
      <c r="P83" s="354"/>
      <c r="Q83" s="341"/>
      <c r="R83" s="341"/>
      <c r="S83" s="385" t="s">
        <v>462</v>
      </c>
      <c r="V83" s="350"/>
      <c r="X83" s="516"/>
      <c r="Z83" s="379" t="str">
        <f>CONCATENATE(A83,K83,S83)</f>
        <v>Уровень квалификации    требованиям,  </v>
      </c>
      <c r="AE83" s="315"/>
      <c r="AF83" s="315"/>
      <c r="AG83" s="189"/>
      <c r="AH83" s="530"/>
      <c r="AI83" s="189"/>
    </row>
    <row r="84" spans="1:35" s="179" customFormat="1" ht="12.75">
      <c r="A84" s="348" t="s">
        <v>460</v>
      </c>
      <c r="B84" s="340"/>
      <c r="C84" s="340"/>
      <c r="D84" s="340"/>
      <c r="E84" s="340"/>
      <c r="G84" s="382"/>
      <c r="H84" s="252">
        <f>IF(OR(G56="",FIO="",Z81=""),"",IF(G56="первая","первой","высшей"))</f>
      </c>
      <c r="I84" s="258"/>
      <c r="J84" s="258"/>
      <c r="K84" s="351" t="s">
        <v>459</v>
      </c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X84" s="516"/>
      <c r="Z84" s="379" t="str">
        <f>CONCATENATE(A84,H84,K84)</f>
        <v>предъявляемым к заявленной      квалификационной категории. </v>
      </c>
      <c r="AE84" s="315"/>
      <c r="AF84" s="315"/>
      <c r="AG84" s="189"/>
      <c r="AH84" s="530"/>
      <c r="AI84" s="189"/>
    </row>
    <row r="85" spans="1:35" s="179" customFormat="1" ht="9.75" customHeight="1">
      <c r="A85" s="269"/>
      <c r="X85" s="516"/>
      <c r="AE85" s="315"/>
      <c r="AF85" s="315"/>
      <c r="AG85" s="189"/>
      <c r="AH85" s="530"/>
      <c r="AI85" s="189"/>
    </row>
    <row r="86" spans="1:35" s="179" customFormat="1" ht="12.75">
      <c r="A86" s="587" t="s">
        <v>166</v>
      </c>
      <c r="X86" s="516"/>
      <c r="Y86" s="178" t="s">
        <v>259</v>
      </c>
      <c r="Z86" s="387">
        <f>'общие сведения'!A126</f>
      </c>
      <c r="AE86" s="315"/>
      <c r="AF86" s="315"/>
      <c r="AG86" s="189"/>
      <c r="AH86" s="530"/>
      <c r="AI86" s="189"/>
    </row>
    <row r="87" spans="1:35" ht="12.75" customHeight="1">
      <c r="A87" s="229"/>
      <c r="B87" s="917">
        <f>IF(OR(FIO="",ISERR(Z86)),"",Z86)</f>
      </c>
      <c r="C87" s="917"/>
      <c r="D87" s="917"/>
      <c r="E87" s="917"/>
      <c r="F87" s="917"/>
      <c r="G87" s="917"/>
      <c r="H87" s="917"/>
      <c r="I87" s="917"/>
      <c r="J87" s="917"/>
      <c r="K87" s="917"/>
      <c r="L87" s="917"/>
      <c r="M87" s="917"/>
      <c r="N87" s="917"/>
      <c r="O87" s="917"/>
      <c r="P87" s="917"/>
      <c r="Q87" s="917"/>
      <c r="R87" s="917"/>
      <c r="S87" s="917"/>
      <c r="T87" s="917"/>
      <c r="U87" s="917"/>
      <c r="V87" s="917"/>
      <c r="W87" s="917"/>
      <c r="X87" s="516"/>
      <c r="AG87" s="189"/>
      <c r="AH87" s="530"/>
      <c r="AI87" s="189"/>
    </row>
    <row r="88" spans="1:35" ht="12.75" customHeight="1">
      <c r="A88" s="229"/>
      <c r="B88" s="917"/>
      <c r="C88" s="917"/>
      <c r="D88" s="917"/>
      <c r="E88" s="917"/>
      <c r="F88" s="917"/>
      <c r="G88" s="917"/>
      <c r="H88" s="917"/>
      <c r="I88" s="917"/>
      <c r="J88" s="917"/>
      <c r="K88" s="917"/>
      <c r="L88" s="917"/>
      <c r="M88" s="917"/>
      <c r="N88" s="917"/>
      <c r="O88" s="917"/>
      <c r="P88" s="917"/>
      <c r="Q88" s="917"/>
      <c r="R88" s="917"/>
      <c r="S88" s="917"/>
      <c r="T88" s="917"/>
      <c r="U88" s="917"/>
      <c r="V88" s="917"/>
      <c r="W88" s="917"/>
      <c r="X88" s="516"/>
      <c r="AG88" s="189"/>
      <c r="AH88" s="530"/>
      <c r="AI88" s="189"/>
    </row>
    <row r="89" spans="1:35" ht="12.75" customHeight="1">
      <c r="A89" s="229"/>
      <c r="B89" s="917"/>
      <c r="C89" s="917"/>
      <c r="D89" s="917"/>
      <c r="E89" s="917"/>
      <c r="F89" s="917"/>
      <c r="G89" s="917"/>
      <c r="H89" s="917"/>
      <c r="I89" s="917"/>
      <c r="J89" s="917"/>
      <c r="K89" s="917"/>
      <c r="L89" s="917"/>
      <c r="M89" s="917"/>
      <c r="N89" s="917"/>
      <c r="O89" s="917"/>
      <c r="P89" s="917"/>
      <c r="Q89" s="917"/>
      <c r="R89" s="917"/>
      <c r="S89" s="917"/>
      <c r="T89" s="917"/>
      <c r="U89" s="917"/>
      <c r="V89" s="917"/>
      <c r="W89" s="917"/>
      <c r="X89" s="516"/>
      <c r="AG89" s="189"/>
      <c r="AH89" s="530"/>
      <c r="AI89" s="189"/>
    </row>
    <row r="90" spans="1:35" ht="1.5" customHeight="1">
      <c r="A90" s="229"/>
      <c r="B90" s="917"/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7"/>
      <c r="V90" s="917"/>
      <c r="W90" s="917"/>
      <c r="X90" s="516"/>
      <c r="AG90" s="189"/>
      <c r="AH90" s="530"/>
      <c r="AI90" s="189"/>
    </row>
    <row r="91" spans="1:56" ht="19.5" customHeight="1">
      <c r="A91" s="183" t="s">
        <v>51</v>
      </c>
      <c r="B91" s="183"/>
      <c r="C91" s="194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93"/>
      <c r="T91" s="193"/>
      <c r="U91" s="193"/>
      <c r="V91" s="193"/>
      <c r="W91" s="193"/>
      <c r="X91" s="516"/>
      <c r="Y91" s="193"/>
      <c r="Z91" s="193"/>
      <c r="AA91" s="193"/>
      <c r="AB91" s="193"/>
      <c r="AC91" s="193"/>
      <c r="AD91" s="193"/>
      <c r="AE91" s="564"/>
      <c r="AF91" s="564"/>
      <c r="AG91" s="193"/>
      <c r="AH91" s="530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</row>
    <row r="92" spans="1:56" ht="12.75">
      <c r="A92" s="183" t="s">
        <v>196</v>
      </c>
      <c r="B92" s="183"/>
      <c r="C92" s="194"/>
      <c r="D92" s="195"/>
      <c r="E92" s="195"/>
      <c r="F92" s="195"/>
      <c r="G92" s="183"/>
      <c r="H92" s="910">
        <f>IF(FIO&lt;&gt;"",IF('общие сведения'!M109&lt;&gt;"",'общие сведения'!M109,""),"")</f>
      </c>
      <c r="I92" s="910"/>
      <c r="J92" s="910"/>
      <c r="K92" s="910"/>
      <c r="L92" s="910"/>
      <c r="M92" s="910"/>
      <c r="N92" s="910"/>
      <c r="O92" s="910"/>
      <c r="P92" s="910"/>
      <c r="Q92" s="910"/>
      <c r="R92" s="910"/>
      <c r="S92" s="910"/>
      <c r="T92" s="910"/>
      <c r="U92" s="910"/>
      <c r="V92" s="910"/>
      <c r="W92" s="910"/>
      <c r="X92" s="516"/>
      <c r="Y92" s="193"/>
      <c r="Z92" s="193"/>
      <c r="AA92" s="193"/>
      <c r="AB92" s="193"/>
      <c r="AC92" s="193"/>
      <c r="AD92" s="193"/>
      <c r="AE92" s="564"/>
      <c r="AF92" s="564"/>
      <c r="AG92" s="193"/>
      <c r="AH92" s="530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</row>
    <row r="93" spans="1:56" ht="12.75" customHeight="1">
      <c r="A93" s="183" t="s">
        <v>279</v>
      </c>
      <c r="B93" s="183"/>
      <c r="C93" s="183"/>
      <c r="D93" s="13"/>
      <c r="E93" s="215"/>
      <c r="F93" s="215"/>
      <c r="G93" s="215"/>
      <c r="H93" s="909" t="s">
        <v>55</v>
      </c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516"/>
      <c r="Y93" s="215"/>
      <c r="Z93" s="215"/>
      <c r="AA93" s="215"/>
      <c r="AB93" s="215"/>
      <c r="AC93" s="215"/>
      <c r="AD93" s="215"/>
      <c r="AE93" s="565"/>
      <c r="AF93" s="565"/>
      <c r="AG93" s="215"/>
      <c r="AH93" s="530"/>
      <c r="AI93" s="215"/>
      <c r="AJ93" s="215"/>
      <c r="AK93" s="215"/>
      <c r="AL93" s="215"/>
      <c r="AM93" s="215"/>
      <c r="AN93" s="215"/>
      <c r="AO93" s="215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</row>
    <row r="94" spans="1:34" ht="12.75">
      <c r="A94" s="183" t="s">
        <v>280</v>
      </c>
      <c r="B94" s="183"/>
      <c r="C94" s="183"/>
      <c r="D94" s="195"/>
      <c r="E94" s="195"/>
      <c r="F94" s="195"/>
      <c r="G94" s="183"/>
      <c r="H94" s="910">
        <f>IF(FIO&lt;&gt;"",IF('общие сведения'!M111&lt;&gt;"",'общие сведения'!M111,""),"")</f>
      </c>
      <c r="I94" s="910"/>
      <c r="J94" s="910"/>
      <c r="K94" s="910"/>
      <c r="L94" s="910"/>
      <c r="M94" s="910"/>
      <c r="N94" s="910"/>
      <c r="O94" s="910"/>
      <c r="P94" s="910"/>
      <c r="Q94" s="910"/>
      <c r="R94" s="910"/>
      <c r="S94" s="910"/>
      <c r="T94" s="910"/>
      <c r="U94" s="910"/>
      <c r="V94" s="910"/>
      <c r="W94" s="910"/>
      <c r="X94" s="516"/>
      <c r="AH94" s="530"/>
    </row>
    <row r="95" spans="8:34" ht="13.5">
      <c r="H95" s="909" t="s">
        <v>55</v>
      </c>
      <c r="I95" s="909"/>
      <c r="J95" s="909"/>
      <c r="K95" s="909"/>
      <c r="L95" s="909"/>
      <c r="M95" s="909"/>
      <c r="N95" s="909"/>
      <c r="O95" s="909"/>
      <c r="P95" s="909"/>
      <c r="Q95" s="909"/>
      <c r="R95" s="909"/>
      <c r="S95" s="909"/>
      <c r="T95" s="909"/>
      <c r="U95" s="909"/>
      <c r="V95" s="909"/>
      <c r="W95" s="909"/>
      <c r="X95" s="516"/>
      <c r="AH95" s="530"/>
    </row>
    <row r="96" spans="4:34" ht="12.75">
      <c r="D96" s="157"/>
      <c r="E96" s="157"/>
      <c r="F96" s="157"/>
      <c r="H96" s="910">
        <f>IF(FIO&lt;&gt;"",IF('общие сведения'!M113&lt;&gt;"",'общие сведения'!M113,""),"")</f>
      </c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516"/>
      <c r="AH96" s="530"/>
    </row>
    <row r="97" spans="8:34" ht="13.5">
      <c r="H97" s="905" t="s">
        <v>55</v>
      </c>
      <c r="I97" s="905"/>
      <c r="J97" s="905"/>
      <c r="K97" s="905"/>
      <c r="L97" s="905"/>
      <c r="M97" s="905"/>
      <c r="N97" s="905"/>
      <c r="O97" s="905"/>
      <c r="P97" s="905"/>
      <c r="Q97" s="905"/>
      <c r="R97" s="905"/>
      <c r="S97" s="905"/>
      <c r="T97" s="905"/>
      <c r="U97" s="905"/>
      <c r="V97" s="905"/>
      <c r="W97" s="905"/>
      <c r="X97" s="516"/>
      <c r="AH97" s="530"/>
    </row>
    <row r="98" spans="4:34" ht="12.75" hidden="1">
      <c r="D98" s="157"/>
      <c r="E98" s="157"/>
      <c r="F98" s="157"/>
      <c r="H98" s="910">
        <f>IF(FIO&lt;&gt;"",IF('общие сведения'!M115&lt;&gt;"",'общие сведения'!M115,""),"")</f>
      </c>
      <c r="I98" s="910"/>
      <c r="J98" s="910"/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516"/>
      <c r="AH98" s="530"/>
    </row>
    <row r="99" spans="8:34" ht="14.25" hidden="1">
      <c r="H99" s="905" t="s">
        <v>55</v>
      </c>
      <c r="I99" s="905"/>
      <c r="J99" s="905"/>
      <c r="K99" s="905"/>
      <c r="L99" s="905"/>
      <c r="M99" s="905"/>
      <c r="N99" s="905"/>
      <c r="O99" s="905"/>
      <c r="P99" s="905"/>
      <c r="Q99" s="905"/>
      <c r="R99" s="905"/>
      <c r="S99" s="905"/>
      <c r="T99" s="905"/>
      <c r="U99" s="905"/>
      <c r="V99" s="905"/>
      <c r="W99" s="905"/>
      <c r="X99" s="516"/>
      <c r="AH99" s="530"/>
    </row>
    <row r="100" spans="2:40" ht="12.75">
      <c r="B100" s="183"/>
      <c r="C100" s="1057" t="s">
        <v>197</v>
      </c>
      <c r="D100" s="1057"/>
      <c r="E100" s="1057"/>
      <c r="F100" s="1057"/>
      <c r="G100" s="1057"/>
      <c r="H100" s="1057"/>
      <c r="I100" s="1057"/>
      <c r="J100" s="1057"/>
      <c r="K100" s="1057"/>
      <c r="L100" s="1056" t="str">
        <f>'общие сведения'!K118</f>
        <v>« __ » ___________  20__ г.</v>
      </c>
      <c r="M100" s="1056"/>
      <c r="N100" s="1056"/>
      <c r="O100" s="1056"/>
      <c r="P100" s="1056"/>
      <c r="Q100" s="1056"/>
      <c r="R100" s="1056"/>
      <c r="S100" s="332"/>
      <c r="T100" s="332"/>
      <c r="U100" s="332"/>
      <c r="V100" s="332"/>
      <c r="X100" s="516"/>
      <c r="AH100" s="530"/>
      <c r="AI100" s="183"/>
      <c r="AJ100" s="183"/>
      <c r="AK100" s="183"/>
      <c r="AL100" s="183"/>
      <c r="AM100" s="183"/>
      <c r="AN100" s="183"/>
    </row>
    <row r="101" spans="1:40" ht="3.75" customHeight="1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516"/>
      <c r="Y101" s="183"/>
      <c r="Z101" s="183"/>
      <c r="AA101" s="183"/>
      <c r="AH101" s="530"/>
      <c r="AI101" s="183"/>
      <c r="AJ101" s="183"/>
      <c r="AK101" s="183"/>
      <c r="AL101" s="183"/>
      <c r="AM101" s="183"/>
      <c r="AN101" s="183"/>
    </row>
    <row r="102" spans="1:34" ht="3" customHeight="1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516"/>
      <c r="Y102" s="183"/>
      <c r="Z102" s="183"/>
      <c r="AA102" s="183"/>
      <c r="AH102" s="530"/>
    </row>
    <row r="103" spans="1:34" ht="3" customHeight="1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516"/>
      <c r="AH103" s="530"/>
    </row>
    <row r="104" spans="1:34" ht="12.75">
      <c r="A104" s="271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516"/>
      <c r="AH104" s="530"/>
    </row>
    <row r="105" spans="4:34" ht="14.25">
      <c r="D105" s="236" t="s">
        <v>198</v>
      </c>
      <c r="X105" s="516"/>
      <c r="AH105" s="530"/>
    </row>
    <row r="106" spans="24:34" ht="3" customHeight="1">
      <c r="X106" s="516"/>
      <c r="AH106" s="530"/>
    </row>
    <row r="107" spans="2:34" ht="12.75">
      <c r="B107" s="5" t="s">
        <v>199</v>
      </c>
      <c r="F107" s="157"/>
      <c r="G107" s="157"/>
      <c r="H107" s="196"/>
      <c r="I107" s="196"/>
      <c r="J107" s="235"/>
      <c r="K107" s="235"/>
      <c r="L107" s="937">
        <f>IF(FIO&lt;&gt;"",FIO,"")</f>
      </c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516"/>
      <c r="AH107" s="530"/>
    </row>
    <row r="108" spans="6:34" ht="12.75" customHeight="1">
      <c r="F108" s="842" t="s">
        <v>200</v>
      </c>
      <c r="G108" s="842"/>
      <c r="H108" s="842"/>
      <c r="I108" s="842"/>
      <c r="J108" s="198"/>
      <c r="L108" s="905" t="s">
        <v>55</v>
      </c>
      <c r="M108" s="905"/>
      <c r="N108" s="905"/>
      <c r="O108" s="905"/>
      <c r="P108" s="905"/>
      <c r="Q108" s="905"/>
      <c r="R108" s="905"/>
      <c r="S108" s="905"/>
      <c r="T108" s="334"/>
      <c r="U108" s="334"/>
      <c r="V108" s="334"/>
      <c r="W108" s="334"/>
      <c r="X108" s="516"/>
      <c r="AH108" s="530"/>
    </row>
    <row r="109" spans="7:34" ht="5.25" customHeight="1">
      <c r="G109" s="197"/>
      <c r="P109" s="215"/>
      <c r="Q109" s="215"/>
      <c r="R109" s="215"/>
      <c r="X109" s="516"/>
      <c r="AH109" s="530"/>
    </row>
    <row r="110" spans="1:34" ht="15">
      <c r="A110" s="743" t="s">
        <v>201</v>
      </c>
      <c r="B110" s="743"/>
      <c r="C110" s="743"/>
      <c r="D110" s="743"/>
      <c r="E110" s="743"/>
      <c r="F110" s="743"/>
      <c r="G110" s="743"/>
      <c r="H110" s="743"/>
      <c r="I110" s="743"/>
      <c r="J110" s="743"/>
      <c r="K110" s="743"/>
      <c r="L110" s="743"/>
      <c r="M110" s="743"/>
      <c r="N110" s="743"/>
      <c r="O110" s="743"/>
      <c r="P110" s="743"/>
      <c r="Q110" s="743"/>
      <c r="R110" s="743"/>
      <c r="S110" s="743"/>
      <c r="T110" s="743"/>
      <c r="U110" s="743"/>
      <c r="V110" s="743"/>
      <c r="W110" s="743"/>
      <c r="X110" s="516"/>
      <c r="Y110" s="199" t="s">
        <v>208</v>
      </c>
      <c r="AA110" s="263" t="s">
        <v>282</v>
      </c>
      <c r="AB110" s="263" t="s">
        <v>209</v>
      </c>
      <c r="AC110" s="295" t="s">
        <v>281</v>
      </c>
      <c r="AE110" s="560" t="s">
        <v>408</v>
      </c>
      <c r="AH110" s="530"/>
    </row>
    <row r="111" spans="1:45" ht="9" customHeight="1">
      <c r="A111" s="272"/>
      <c r="X111" s="516"/>
      <c r="AH111" s="530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ht="15">
      <c r="A112" s="262" t="s">
        <v>265</v>
      </c>
      <c r="B112" s="272" t="s">
        <v>570</v>
      </c>
      <c r="X112" s="516"/>
      <c r="Y112" s="302" t="str">
        <f>A112</f>
        <v>1. </v>
      </c>
      <c r="Z112" s="283" t="s">
        <v>284</v>
      </c>
      <c r="AA112" s="280">
        <f>SUM(Y114:Y162)</f>
        <v>0</v>
      </c>
      <c r="AB112" s="281">
        <f>SUM(Z114:Z161)</f>
        <v>100</v>
      </c>
      <c r="AC112" s="329">
        <f>SUM(AA114:AA161)</f>
        <v>60</v>
      </c>
      <c r="AE112" s="560" t="b">
        <f>итого_1&gt;=AC112</f>
        <v>0</v>
      </c>
      <c r="AH112" s="530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ht="13.5">
      <c r="A113" s="849" t="s">
        <v>202</v>
      </c>
      <c r="B113" s="849"/>
      <c r="C113" s="849"/>
      <c r="D113" s="849"/>
      <c r="E113" s="849"/>
      <c r="F113" s="849"/>
      <c r="G113" s="849"/>
      <c r="H113" s="849"/>
      <c r="I113" s="849"/>
      <c r="J113" s="849"/>
      <c r="K113" s="849"/>
      <c r="L113" s="849"/>
      <c r="M113" s="849"/>
      <c r="N113" s="849"/>
      <c r="O113" s="849"/>
      <c r="P113" s="849"/>
      <c r="Q113" s="849"/>
      <c r="R113" s="849"/>
      <c r="S113" s="849"/>
      <c r="T113" s="849"/>
      <c r="U113" s="849"/>
      <c r="V113" s="849"/>
      <c r="W113" s="849"/>
      <c r="X113" s="516"/>
      <c r="AG113" s="13"/>
      <c r="AH113" s="530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ht="12.75" customHeight="1">
      <c r="A114" s="216" t="s">
        <v>203</v>
      </c>
      <c r="B114" s="751" t="s">
        <v>597</v>
      </c>
      <c r="C114" s="751"/>
      <c r="D114" s="751"/>
      <c r="E114" s="751"/>
      <c r="F114" s="751"/>
      <c r="G114" s="751"/>
      <c r="H114" s="751"/>
      <c r="I114" s="751"/>
      <c r="J114" s="751"/>
      <c r="K114" s="751"/>
      <c r="L114" s="751"/>
      <c r="M114" s="751"/>
      <c r="N114" s="751"/>
      <c r="O114" s="751"/>
      <c r="P114" s="751"/>
      <c r="Q114" s="751"/>
      <c r="R114" s="751"/>
      <c r="S114" s="751"/>
      <c r="T114" s="751"/>
      <c r="U114" s="751"/>
      <c r="V114" s="751"/>
      <c r="W114" s="751"/>
      <c r="X114" s="516"/>
      <c r="Z114" s="13"/>
      <c r="AA114" s="13"/>
      <c r="AB114" s="13"/>
      <c r="AC114" s="13"/>
      <c r="AD114" s="13"/>
      <c r="AG114" s="13"/>
      <c r="AH114" s="530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ht="12.75" customHeight="1">
      <c r="A115" s="273"/>
      <c r="B115" s="751"/>
      <c r="C115" s="751"/>
      <c r="D115" s="751"/>
      <c r="E115" s="751"/>
      <c r="F115" s="751"/>
      <c r="G115" s="751"/>
      <c r="H115" s="751"/>
      <c r="I115" s="751"/>
      <c r="J115" s="751"/>
      <c r="K115" s="751"/>
      <c r="L115" s="751"/>
      <c r="M115" s="751"/>
      <c r="N115" s="751"/>
      <c r="O115" s="751"/>
      <c r="P115" s="751"/>
      <c r="Q115" s="751"/>
      <c r="R115" s="751"/>
      <c r="S115" s="751"/>
      <c r="T115" s="751"/>
      <c r="U115" s="751"/>
      <c r="V115" s="751"/>
      <c r="W115" s="751"/>
      <c r="X115" s="516"/>
      <c r="Z115" s="13"/>
      <c r="AA115" s="13"/>
      <c r="AB115" s="13"/>
      <c r="AC115" s="13"/>
      <c r="AD115" s="13"/>
      <c r="AG115" s="13"/>
      <c r="AH115" s="530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ht="6" customHeight="1">
      <c r="A116" s="273"/>
      <c r="B116" s="751"/>
      <c r="C116" s="751"/>
      <c r="D116" s="751"/>
      <c r="E116" s="751"/>
      <c r="F116" s="751"/>
      <c r="G116" s="751"/>
      <c r="H116" s="751"/>
      <c r="I116" s="751"/>
      <c r="J116" s="751"/>
      <c r="K116" s="751"/>
      <c r="L116" s="751"/>
      <c r="M116" s="751"/>
      <c r="N116" s="751"/>
      <c r="O116" s="751"/>
      <c r="P116" s="751"/>
      <c r="Q116" s="751"/>
      <c r="R116" s="751"/>
      <c r="S116" s="751"/>
      <c r="T116" s="751"/>
      <c r="U116" s="751"/>
      <c r="V116" s="751"/>
      <c r="W116" s="751"/>
      <c r="X116" s="516"/>
      <c r="Z116" s="13"/>
      <c r="AA116" s="13"/>
      <c r="AB116" s="13"/>
      <c r="AC116" s="13"/>
      <c r="AD116" s="13"/>
      <c r="AG116" s="13"/>
      <c r="AH116" s="530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ht="12.75" customHeight="1">
      <c r="A117" s="273"/>
      <c r="B117" s="751"/>
      <c r="C117" s="751"/>
      <c r="D117" s="751"/>
      <c r="E117" s="751"/>
      <c r="F117" s="751"/>
      <c r="G117" s="751"/>
      <c r="H117" s="751"/>
      <c r="I117" s="751"/>
      <c r="J117" s="751"/>
      <c r="K117" s="751"/>
      <c r="L117" s="751"/>
      <c r="M117" s="751"/>
      <c r="N117" s="751"/>
      <c r="O117" s="751"/>
      <c r="P117" s="751"/>
      <c r="Q117" s="751"/>
      <c r="R117" s="751"/>
      <c r="S117" s="751"/>
      <c r="T117" s="751"/>
      <c r="U117" s="751"/>
      <c r="V117" s="751"/>
      <c r="W117" s="751"/>
      <c r="X117" s="516"/>
      <c r="Z117" s="13"/>
      <c r="AA117" s="13"/>
      <c r="AB117" s="13"/>
      <c r="AC117" s="13"/>
      <c r="AD117" s="13"/>
      <c r="AE117" s="328"/>
      <c r="AF117" s="328"/>
      <c r="AG117" s="13"/>
      <c r="AH117" s="530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ht="12.75" customHeight="1">
      <c r="A118" s="216" t="s">
        <v>203</v>
      </c>
      <c r="B118" s="751" t="s">
        <v>595</v>
      </c>
      <c r="C118" s="751"/>
      <c r="D118" s="751"/>
      <c r="E118" s="751"/>
      <c r="F118" s="751"/>
      <c r="G118" s="751"/>
      <c r="H118" s="751"/>
      <c r="I118" s="751"/>
      <c r="J118" s="751"/>
      <c r="K118" s="751"/>
      <c r="L118" s="751"/>
      <c r="M118" s="751"/>
      <c r="N118" s="751"/>
      <c r="O118" s="751"/>
      <c r="P118" s="751"/>
      <c r="Q118" s="751"/>
      <c r="R118" s="751"/>
      <c r="S118" s="751"/>
      <c r="T118" s="751"/>
      <c r="U118" s="751"/>
      <c r="V118" s="751"/>
      <c r="W118" s="751"/>
      <c r="X118" s="516"/>
      <c r="Z118" s="13"/>
      <c r="AA118" s="13"/>
      <c r="AB118" s="13"/>
      <c r="AC118" s="13"/>
      <c r="AD118" s="13"/>
      <c r="AE118" s="328"/>
      <c r="AF118" s="328"/>
      <c r="AG118" s="13"/>
      <c r="AH118" s="530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2:45" ht="12.75" customHeight="1">
      <c r="B119" s="751"/>
      <c r="C119" s="751"/>
      <c r="D119" s="751"/>
      <c r="E119" s="751"/>
      <c r="F119" s="751"/>
      <c r="G119" s="751"/>
      <c r="H119" s="751"/>
      <c r="I119" s="751"/>
      <c r="J119" s="751"/>
      <c r="K119" s="751"/>
      <c r="L119" s="751"/>
      <c r="M119" s="751"/>
      <c r="N119" s="751"/>
      <c r="O119" s="751"/>
      <c r="P119" s="751"/>
      <c r="Q119" s="751"/>
      <c r="R119" s="751"/>
      <c r="S119" s="751"/>
      <c r="T119" s="751"/>
      <c r="U119" s="751"/>
      <c r="V119" s="751"/>
      <c r="W119" s="751"/>
      <c r="X119" s="516"/>
      <c r="Z119" s="13"/>
      <c r="AA119" s="13"/>
      <c r="AB119" s="13"/>
      <c r="AC119" s="13"/>
      <c r="AD119" s="13"/>
      <c r="AE119" s="328"/>
      <c r="AF119" s="328"/>
      <c r="AG119" s="13"/>
      <c r="AH119" s="530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2:45" ht="12.75" customHeight="1">
      <c r="B120" s="751"/>
      <c r="C120" s="751"/>
      <c r="D120" s="751"/>
      <c r="E120" s="751"/>
      <c r="F120" s="751"/>
      <c r="G120" s="751"/>
      <c r="H120" s="751"/>
      <c r="I120" s="751"/>
      <c r="J120" s="751"/>
      <c r="K120" s="751"/>
      <c r="L120" s="751"/>
      <c r="M120" s="751"/>
      <c r="N120" s="751"/>
      <c r="O120" s="751"/>
      <c r="P120" s="751"/>
      <c r="Q120" s="751"/>
      <c r="R120" s="751"/>
      <c r="S120" s="751"/>
      <c r="T120" s="751"/>
      <c r="U120" s="751"/>
      <c r="V120" s="751"/>
      <c r="W120" s="751"/>
      <c r="X120" s="516"/>
      <c r="Z120" s="13"/>
      <c r="AA120" s="13"/>
      <c r="AB120" s="13"/>
      <c r="AC120" s="13"/>
      <c r="AD120" s="13"/>
      <c r="AE120" s="328"/>
      <c r="AF120" s="328"/>
      <c r="AG120" s="13"/>
      <c r="AH120" s="530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2:45" ht="9" customHeight="1">
      <c r="B121" s="751"/>
      <c r="C121" s="751"/>
      <c r="D121" s="751"/>
      <c r="E121" s="751"/>
      <c r="F121" s="751"/>
      <c r="G121" s="751"/>
      <c r="H121" s="751"/>
      <c r="I121" s="751"/>
      <c r="J121" s="751"/>
      <c r="K121" s="751"/>
      <c r="L121" s="751"/>
      <c r="M121" s="751"/>
      <c r="N121" s="751"/>
      <c r="O121" s="751"/>
      <c r="P121" s="751"/>
      <c r="Q121" s="751"/>
      <c r="R121" s="751"/>
      <c r="S121" s="751"/>
      <c r="T121" s="751"/>
      <c r="U121" s="751"/>
      <c r="V121" s="751"/>
      <c r="W121" s="751"/>
      <c r="X121" s="516"/>
      <c r="AG121" s="239"/>
      <c r="AH121" s="530"/>
      <c r="AI121" s="239"/>
      <c r="AJ121" s="239"/>
      <c r="AK121" s="239"/>
      <c r="AL121" s="239"/>
      <c r="AM121" s="239"/>
      <c r="AN121" s="239"/>
      <c r="AO121" s="239"/>
      <c r="AP121" s="13"/>
      <c r="AQ121" s="13"/>
      <c r="AR121" s="13"/>
      <c r="AS121" s="13"/>
    </row>
    <row r="122" spans="1:34" ht="12.75">
      <c r="A122" s="275" t="s">
        <v>341</v>
      </c>
      <c r="B122" s="938" t="s">
        <v>342</v>
      </c>
      <c r="C122" s="938"/>
      <c r="D122" s="938"/>
      <c r="E122" s="938"/>
      <c r="F122" s="938"/>
      <c r="G122" s="938"/>
      <c r="H122" s="938"/>
      <c r="I122" s="938"/>
      <c r="J122" s="938"/>
      <c r="K122" s="938"/>
      <c r="L122" s="938"/>
      <c r="M122" s="938"/>
      <c r="N122" s="938"/>
      <c r="O122" s="938"/>
      <c r="P122" s="938"/>
      <c r="Q122" s="938"/>
      <c r="R122" s="938"/>
      <c r="S122" s="938"/>
      <c r="T122" s="938"/>
      <c r="U122" s="938"/>
      <c r="V122" s="938"/>
      <c r="W122" s="938"/>
      <c r="X122" s="516"/>
      <c r="AH122" s="530"/>
    </row>
    <row r="123" spans="2:34" ht="12.75">
      <c r="B123" s="938"/>
      <c r="C123" s="938"/>
      <c r="D123" s="938"/>
      <c r="E123" s="938"/>
      <c r="F123" s="938"/>
      <c r="G123" s="938"/>
      <c r="H123" s="938"/>
      <c r="I123" s="938"/>
      <c r="J123" s="938"/>
      <c r="K123" s="938"/>
      <c r="L123" s="938"/>
      <c r="M123" s="938"/>
      <c r="N123" s="938"/>
      <c r="O123" s="938"/>
      <c r="P123" s="938"/>
      <c r="Q123" s="938"/>
      <c r="R123" s="938"/>
      <c r="S123" s="938"/>
      <c r="T123" s="938"/>
      <c r="U123" s="938"/>
      <c r="V123" s="938"/>
      <c r="W123" s="938"/>
      <c r="X123" s="516"/>
      <c r="AH123" s="530"/>
    </row>
    <row r="124" spans="2:45" ht="3" customHeight="1"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516"/>
      <c r="AG124" s="239"/>
      <c r="AH124" s="530"/>
      <c r="AI124" s="239"/>
      <c r="AJ124" s="239"/>
      <c r="AK124" s="239"/>
      <c r="AL124" s="239"/>
      <c r="AM124" s="239"/>
      <c r="AN124" s="239"/>
      <c r="AO124" s="239"/>
      <c r="AP124" s="13"/>
      <c r="AQ124" s="13"/>
      <c r="AR124" s="13"/>
      <c r="AS124" s="13"/>
    </row>
    <row r="125" spans="1:45" ht="12.75" customHeight="1">
      <c r="A125" s="752" t="s">
        <v>204</v>
      </c>
      <c r="B125" s="948" t="s">
        <v>18</v>
      </c>
      <c r="C125" s="948"/>
      <c r="D125" s="948"/>
      <c r="E125" s="760" t="s">
        <v>205</v>
      </c>
      <c r="F125" s="761"/>
      <c r="G125" s="761"/>
      <c r="H125" s="761"/>
      <c r="I125" s="761"/>
      <c r="J125" s="761"/>
      <c r="K125" s="761"/>
      <c r="L125" s="761"/>
      <c r="M125" s="761"/>
      <c r="N125" s="862"/>
      <c r="O125" s="939" t="s">
        <v>206</v>
      </c>
      <c r="P125" s="939"/>
      <c r="Q125" s="939"/>
      <c r="R125" s="939"/>
      <c r="S125" s="939"/>
      <c r="T125" s="939"/>
      <c r="U125" s="939"/>
      <c r="V125" s="939"/>
      <c r="W125" s="939"/>
      <c r="X125" s="516"/>
      <c r="AG125" s="209"/>
      <c r="AH125" s="530"/>
      <c r="AI125" s="209"/>
      <c r="AJ125" s="209"/>
      <c r="AK125" s="209"/>
      <c r="AL125" s="209"/>
      <c r="AM125" s="209"/>
      <c r="AN125" s="209"/>
      <c r="AO125" s="209"/>
      <c r="AP125" s="13"/>
      <c r="AQ125" s="13"/>
      <c r="AR125" s="13"/>
      <c r="AS125" s="13"/>
    </row>
    <row r="126" spans="1:45" ht="14.25" customHeight="1">
      <c r="A126" s="753"/>
      <c r="B126" s="948"/>
      <c r="C126" s="948"/>
      <c r="D126" s="948"/>
      <c r="E126" s="762"/>
      <c r="F126" s="763"/>
      <c r="G126" s="763"/>
      <c r="H126" s="763"/>
      <c r="I126" s="763"/>
      <c r="J126" s="763"/>
      <c r="K126" s="763"/>
      <c r="L126" s="763"/>
      <c r="M126" s="763"/>
      <c r="N126" s="863"/>
      <c r="O126" s="939"/>
      <c r="P126" s="939"/>
      <c r="Q126" s="939"/>
      <c r="R126" s="939"/>
      <c r="S126" s="939"/>
      <c r="T126" s="939"/>
      <c r="U126" s="939"/>
      <c r="V126" s="939"/>
      <c r="W126" s="939"/>
      <c r="X126" s="516"/>
      <c r="AG126" s="13"/>
      <c r="AH126" s="530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ht="12.75" customHeight="1">
      <c r="A127" s="754"/>
      <c r="B127" s="948"/>
      <c r="C127" s="948"/>
      <c r="D127" s="948"/>
      <c r="E127" s="764"/>
      <c r="F127" s="765"/>
      <c r="G127" s="765"/>
      <c r="H127" s="765"/>
      <c r="I127" s="765"/>
      <c r="J127" s="765"/>
      <c r="K127" s="765"/>
      <c r="L127" s="765"/>
      <c r="M127" s="765"/>
      <c r="N127" s="864"/>
      <c r="O127" s="821">
        <v>0</v>
      </c>
      <c r="P127" s="822"/>
      <c r="Q127" s="822"/>
      <c r="R127" s="823"/>
      <c r="S127" s="717" t="s">
        <v>228</v>
      </c>
      <c r="T127" s="717"/>
      <c r="U127" s="717"/>
      <c r="V127" s="717"/>
      <c r="W127" s="717"/>
      <c r="X127" s="516"/>
      <c r="AG127" s="13"/>
      <c r="AH127" s="530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ht="12.75" customHeight="1">
      <c r="A128" s="266" t="s">
        <v>343</v>
      </c>
      <c r="B128" s="718" t="s">
        <v>344</v>
      </c>
      <c r="C128" s="719"/>
      <c r="D128" s="719"/>
      <c r="E128" s="718" t="s">
        <v>573</v>
      </c>
      <c r="F128" s="719"/>
      <c r="G128" s="719"/>
      <c r="H128" s="719"/>
      <c r="I128" s="719"/>
      <c r="J128" s="719"/>
      <c r="K128" s="719"/>
      <c r="L128" s="719"/>
      <c r="M128" s="719"/>
      <c r="N128" s="720"/>
      <c r="O128" s="856" t="s">
        <v>529</v>
      </c>
      <c r="P128" s="857"/>
      <c r="Q128" s="857"/>
      <c r="R128" s="858"/>
      <c r="S128" s="857" t="s">
        <v>528</v>
      </c>
      <c r="T128" s="857"/>
      <c r="U128" s="857"/>
      <c r="V128" s="857"/>
      <c r="W128" s="858"/>
      <c r="X128" s="516"/>
      <c r="AG128" s="13"/>
      <c r="AH128" s="530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ht="12.75" customHeight="1">
      <c r="A129" s="267"/>
      <c r="B129" s="721"/>
      <c r="C129" s="722"/>
      <c r="D129" s="722"/>
      <c r="E129" s="721"/>
      <c r="F129" s="722"/>
      <c r="G129" s="722"/>
      <c r="H129" s="722"/>
      <c r="I129" s="722"/>
      <c r="J129" s="722"/>
      <c r="K129" s="722"/>
      <c r="L129" s="722"/>
      <c r="M129" s="722"/>
      <c r="N129" s="723"/>
      <c r="O129" s="859"/>
      <c r="P129" s="860"/>
      <c r="Q129" s="860"/>
      <c r="R129" s="861"/>
      <c r="S129" s="860"/>
      <c r="T129" s="860"/>
      <c r="U129" s="860"/>
      <c r="V129" s="860"/>
      <c r="W129" s="861"/>
      <c r="X129" s="516"/>
      <c r="AG129" s="13"/>
      <c r="AH129" s="530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ht="12.75" customHeight="1">
      <c r="A130" s="267"/>
      <c r="B130" s="721"/>
      <c r="C130" s="722"/>
      <c r="D130" s="722"/>
      <c r="E130" s="721"/>
      <c r="F130" s="722"/>
      <c r="G130" s="722"/>
      <c r="H130" s="722"/>
      <c r="I130" s="722"/>
      <c r="J130" s="722"/>
      <c r="K130" s="722"/>
      <c r="L130" s="722"/>
      <c r="M130" s="722"/>
      <c r="N130" s="723"/>
      <c r="O130" s="859"/>
      <c r="P130" s="860"/>
      <c r="Q130" s="860"/>
      <c r="R130" s="861"/>
      <c r="S130" s="860"/>
      <c r="T130" s="860"/>
      <c r="U130" s="860"/>
      <c r="V130" s="860"/>
      <c r="W130" s="861"/>
      <c r="X130" s="516"/>
      <c r="AG130" s="13"/>
      <c r="AH130" s="530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ht="12.75">
      <c r="A131" s="267"/>
      <c r="B131" s="721"/>
      <c r="C131" s="722"/>
      <c r="D131" s="722"/>
      <c r="E131" s="721"/>
      <c r="F131" s="722"/>
      <c r="G131" s="722"/>
      <c r="H131" s="722"/>
      <c r="I131" s="722"/>
      <c r="J131" s="722"/>
      <c r="K131" s="722"/>
      <c r="L131" s="722"/>
      <c r="M131" s="722"/>
      <c r="N131" s="723"/>
      <c r="O131" s="859"/>
      <c r="P131" s="860"/>
      <c r="Q131" s="860"/>
      <c r="R131" s="861"/>
      <c r="S131" s="860"/>
      <c r="T131" s="860"/>
      <c r="U131" s="860"/>
      <c r="V131" s="860"/>
      <c r="W131" s="861"/>
      <c r="X131" s="516"/>
      <c r="AG131" s="13"/>
      <c r="AH131" s="530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ht="12.75" customHeight="1">
      <c r="A132" s="267"/>
      <c r="B132" s="721"/>
      <c r="C132" s="722"/>
      <c r="D132" s="722"/>
      <c r="E132" s="721"/>
      <c r="F132" s="722"/>
      <c r="G132" s="722"/>
      <c r="H132" s="722"/>
      <c r="I132" s="722"/>
      <c r="J132" s="722"/>
      <c r="K132" s="722"/>
      <c r="L132" s="722"/>
      <c r="M132" s="722"/>
      <c r="N132" s="723"/>
      <c r="O132" s="850"/>
      <c r="P132" s="851"/>
      <c r="Q132" s="851"/>
      <c r="R132" s="852"/>
      <c r="S132" s="950" t="s">
        <v>340</v>
      </c>
      <c r="T132" s="950"/>
      <c r="U132" s="950"/>
      <c r="V132" s="950"/>
      <c r="W132" s="951"/>
      <c r="X132" s="516"/>
      <c r="AC132" s="355" t="s">
        <v>405</v>
      </c>
      <c r="AG132" s="13"/>
      <c r="AH132" s="530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ht="12.75" customHeight="1">
      <c r="A133" s="267"/>
      <c r="B133" s="721"/>
      <c r="C133" s="722"/>
      <c r="D133" s="722"/>
      <c r="E133" s="721"/>
      <c r="F133" s="722"/>
      <c r="G133" s="722"/>
      <c r="H133" s="722"/>
      <c r="I133" s="722"/>
      <c r="J133" s="722"/>
      <c r="K133" s="722"/>
      <c r="L133" s="722"/>
      <c r="M133" s="722"/>
      <c r="N133" s="723"/>
      <c r="O133" s="850"/>
      <c r="P133" s="851"/>
      <c r="Q133" s="851"/>
      <c r="R133" s="852"/>
      <c r="S133" s="946" t="s">
        <v>266</v>
      </c>
      <c r="T133" s="946"/>
      <c r="U133" s="946"/>
      <c r="V133" s="946"/>
      <c r="W133" s="947"/>
      <c r="X133" s="516"/>
      <c r="AC133" s="357">
        <f>G56</f>
      </c>
      <c r="AG133" s="13"/>
      <c r="AH133" s="530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ht="12.75" customHeight="1">
      <c r="A134" s="267"/>
      <c r="B134" s="721"/>
      <c r="C134" s="722"/>
      <c r="D134" s="722"/>
      <c r="E134" s="721"/>
      <c r="F134" s="722"/>
      <c r="G134" s="722"/>
      <c r="H134" s="722"/>
      <c r="I134" s="722"/>
      <c r="J134" s="722"/>
      <c r="K134" s="722"/>
      <c r="L134" s="722"/>
      <c r="M134" s="722"/>
      <c r="N134" s="723"/>
      <c r="O134" s="853"/>
      <c r="P134" s="854"/>
      <c r="Q134" s="854"/>
      <c r="R134" s="855"/>
      <c r="S134" s="946" t="s">
        <v>267</v>
      </c>
      <c r="T134" s="946"/>
      <c r="U134" s="946"/>
      <c r="V134" s="946"/>
      <c r="W134" s="947"/>
      <c r="X134" s="516"/>
      <c r="Y134" s="202" t="str">
        <f>IF(AC133="первая","да","нет")</f>
        <v>нет</v>
      </c>
      <c r="AG134" s="13"/>
      <c r="AH134" s="530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ht="12.75">
      <c r="A135" s="267"/>
      <c r="B135" s="721"/>
      <c r="C135" s="722"/>
      <c r="D135" s="722"/>
      <c r="E135" s="745" t="s">
        <v>571</v>
      </c>
      <c r="F135" s="746"/>
      <c r="G135" s="746"/>
      <c r="H135" s="746"/>
      <c r="I135" s="746"/>
      <c r="J135" s="746"/>
      <c r="K135" s="746"/>
      <c r="L135" s="746"/>
      <c r="M135" s="746"/>
      <c r="N135" s="747"/>
      <c r="O135" s="724" t="str">
        <f>IF(Y135=0,IF(OR(FIO="",Y134="нет"),"-",0),"")</f>
        <v>-</v>
      </c>
      <c r="P135" s="724"/>
      <c r="Q135" s="724"/>
      <c r="R135" s="724"/>
      <c r="S135" s="774"/>
      <c r="T135" s="774"/>
      <c r="U135" s="774"/>
      <c r="V135" s="774"/>
      <c r="W135" s="775"/>
      <c r="X135" s="516"/>
      <c r="Y135" s="279">
        <f>SUM(S135)</f>
        <v>0</v>
      </c>
      <c r="AC135" s="355" t="s">
        <v>403</v>
      </c>
      <c r="AD135" s="301" t="str">
        <f>IF(z_kateg="первая",AD136,"-")</f>
        <v>-</v>
      </c>
      <c r="AE135" s="566" t="str">
        <f>IF(z_kateg="первая",AE136,"-")</f>
        <v>-</v>
      </c>
      <c r="AF135" s="566" t="str">
        <f>IF(z_kateg="первая",AF136,"-")</f>
        <v>-</v>
      </c>
      <c r="AG135" s="301" t="str">
        <f>IF(z_kateg="первая",AG136,"-")</f>
        <v>-</v>
      </c>
      <c r="AH135" s="530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ht="12.75">
      <c r="A136" s="268"/>
      <c r="B136" s="732"/>
      <c r="C136" s="733"/>
      <c r="D136" s="733"/>
      <c r="E136" s="748"/>
      <c r="F136" s="749"/>
      <c r="G136" s="749"/>
      <c r="H136" s="749"/>
      <c r="I136" s="749"/>
      <c r="J136" s="749"/>
      <c r="K136" s="749"/>
      <c r="L136" s="749"/>
      <c r="M136" s="749"/>
      <c r="N136" s="750"/>
      <c r="O136" s="724"/>
      <c r="P136" s="724"/>
      <c r="Q136" s="724"/>
      <c r="R136" s="724"/>
      <c r="S136" s="780"/>
      <c r="T136" s="780"/>
      <c r="U136" s="780"/>
      <c r="V136" s="780"/>
      <c r="W136" s="781"/>
      <c r="X136" s="516"/>
      <c r="AC136" s="356" t="b">
        <f>OR(S135=0,$S$135="-")</f>
        <v>1</v>
      </c>
      <c r="AD136" s="5">
        <v>10</v>
      </c>
      <c r="AE136" s="315">
        <v>60</v>
      </c>
      <c r="AF136" s="315">
        <v>80</v>
      </c>
      <c r="AG136" s="13">
        <v>100</v>
      </c>
      <c r="AH136" s="530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ht="12.75" customHeight="1">
      <c r="A137" s="266" t="s">
        <v>345</v>
      </c>
      <c r="B137" s="718" t="s">
        <v>346</v>
      </c>
      <c r="C137" s="719"/>
      <c r="D137" s="719"/>
      <c r="E137" s="718" t="s">
        <v>572</v>
      </c>
      <c r="F137" s="719"/>
      <c r="G137" s="719"/>
      <c r="H137" s="719"/>
      <c r="I137" s="719"/>
      <c r="J137" s="719"/>
      <c r="K137" s="719"/>
      <c r="L137" s="719"/>
      <c r="M137" s="719"/>
      <c r="N137" s="720"/>
      <c r="O137" s="856" t="s">
        <v>530</v>
      </c>
      <c r="P137" s="857"/>
      <c r="Q137" s="857"/>
      <c r="R137" s="858"/>
      <c r="S137" s="856" t="s">
        <v>549</v>
      </c>
      <c r="T137" s="857"/>
      <c r="U137" s="857"/>
      <c r="V137" s="857"/>
      <c r="W137" s="858"/>
      <c r="X137" s="516"/>
      <c r="AG137" s="13"/>
      <c r="AH137" s="530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ht="12.75" customHeight="1">
      <c r="A138" s="267"/>
      <c r="B138" s="721"/>
      <c r="C138" s="722"/>
      <c r="D138" s="722"/>
      <c r="E138" s="721"/>
      <c r="F138" s="722"/>
      <c r="G138" s="722"/>
      <c r="H138" s="722"/>
      <c r="I138" s="722"/>
      <c r="J138" s="722"/>
      <c r="K138" s="722"/>
      <c r="L138" s="722"/>
      <c r="M138" s="722"/>
      <c r="N138" s="723"/>
      <c r="O138" s="859"/>
      <c r="P138" s="860"/>
      <c r="Q138" s="860"/>
      <c r="R138" s="861"/>
      <c r="S138" s="859"/>
      <c r="T138" s="860"/>
      <c r="U138" s="860"/>
      <c r="V138" s="860"/>
      <c r="W138" s="861"/>
      <c r="X138" s="516"/>
      <c r="AG138" s="13"/>
      <c r="AH138" s="530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ht="12.75" customHeight="1">
      <c r="A139" s="267"/>
      <c r="B139" s="721"/>
      <c r="C139" s="722"/>
      <c r="D139" s="722"/>
      <c r="E139" s="721"/>
      <c r="F139" s="722"/>
      <c r="G139" s="722"/>
      <c r="H139" s="722"/>
      <c r="I139" s="722"/>
      <c r="J139" s="722"/>
      <c r="K139" s="722"/>
      <c r="L139" s="722"/>
      <c r="M139" s="722"/>
      <c r="N139" s="723"/>
      <c r="O139" s="859"/>
      <c r="P139" s="860"/>
      <c r="Q139" s="860"/>
      <c r="R139" s="861"/>
      <c r="S139" s="859"/>
      <c r="T139" s="860"/>
      <c r="U139" s="860"/>
      <c r="V139" s="860"/>
      <c r="W139" s="861"/>
      <c r="X139" s="516"/>
      <c r="AG139" s="13"/>
      <c r="AH139" s="530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ht="12.75">
      <c r="A140" s="267"/>
      <c r="B140" s="721"/>
      <c r="C140" s="722"/>
      <c r="D140" s="722"/>
      <c r="E140" s="721"/>
      <c r="F140" s="722"/>
      <c r="G140" s="722"/>
      <c r="H140" s="722"/>
      <c r="I140" s="722"/>
      <c r="J140" s="722"/>
      <c r="K140" s="722"/>
      <c r="L140" s="722"/>
      <c r="M140" s="722"/>
      <c r="N140" s="723"/>
      <c r="O140" s="859"/>
      <c r="P140" s="860"/>
      <c r="Q140" s="860"/>
      <c r="R140" s="861"/>
      <c r="S140" s="859"/>
      <c r="T140" s="860"/>
      <c r="U140" s="860"/>
      <c r="V140" s="860"/>
      <c r="W140" s="861"/>
      <c r="X140" s="516"/>
      <c r="AG140" s="13"/>
      <c r="AH140" s="530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ht="12.75" customHeight="1">
      <c r="A141" s="267"/>
      <c r="B141" s="721"/>
      <c r="C141" s="722"/>
      <c r="D141" s="722"/>
      <c r="E141" s="721"/>
      <c r="F141" s="722"/>
      <c r="G141" s="722"/>
      <c r="H141" s="722"/>
      <c r="I141" s="722"/>
      <c r="J141" s="722"/>
      <c r="K141" s="722"/>
      <c r="L141" s="722"/>
      <c r="M141" s="722"/>
      <c r="N141" s="723"/>
      <c r="O141" s="859"/>
      <c r="P141" s="860"/>
      <c r="Q141" s="860"/>
      <c r="R141" s="861"/>
      <c r="S141" s="950" t="s">
        <v>340</v>
      </c>
      <c r="T141" s="950"/>
      <c r="U141" s="950"/>
      <c r="V141" s="950"/>
      <c r="W141" s="951"/>
      <c r="X141" s="516"/>
      <c r="AG141" s="13"/>
      <c r="AH141" s="530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ht="12.75" customHeight="1">
      <c r="A142" s="267"/>
      <c r="B142" s="721"/>
      <c r="C142" s="722"/>
      <c r="D142" s="722"/>
      <c r="E142" s="721"/>
      <c r="F142" s="722"/>
      <c r="G142" s="722"/>
      <c r="H142" s="722"/>
      <c r="I142" s="722"/>
      <c r="J142" s="722"/>
      <c r="K142" s="722"/>
      <c r="L142" s="722"/>
      <c r="M142" s="722"/>
      <c r="N142" s="723"/>
      <c r="O142" s="488"/>
      <c r="P142" s="489"/>
      <c r="Q142" s="489"/>
      <c r="R142" s="490"/>
      <c r="S142" s="946" t="s">
        <v>266</v>
      </c>
      <c r="T142" s="946"/>
      <c r="U142" s="946"/>
      <c r="V142" s="946"/>
      <c r="W142" s="947"/>
      <c r="X142" s="516"/>
      <c r="AG142" s="13"/>
      <c r="AH142" s="530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ht="14.25" customHeight="1">
      <c r="A143" s="267"/>
      <c r="B143" s="721"/>
      <c r="C143" s="722"/>
      <c r="D143" s="722"/>
      <c r="E143" s="721"/>
      <c r="F143" s="722"/>
      <c r="G143" s="722"/>
      <c r="H143" s="722"/>
      <c r="I143" s="722"/>
      <c r="J143" s="722"/>
      <c r="K143" s="722"/>
      <c r="L143" s="722"/>
      <c r="M143" s="722"/>
      <c r="N143" s="723"/>
      <c r="O143" s="491"/>
      <c r="P143" s="492"/>
      <c r="Q143" s="492"/>
      <c r="R143" s="493"/>
      <c r="S143" s="970" t="s">
        <v>267</v>
      </c>
      <c r="T143" s="971"/>
      <c r="U143" s="971"/>
      <c r="V143" s="971"/>
      <c r="W143" s="972"/>
      <c r="X143" s="516"/>
      <c r="Y143" s="202" t="str">
        <f>IF(AC133="высшая","да","нет")</f>
        <v>нет</v>
      </c>
      <c r="AD143" s="201"/>
      <c r="AG143" s="13"/>
      <c r="AH143" s="530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ht="12.75">
      <c r="A144" s="267"/>
      <c r="B144" s="721"/>
      <c r="C144" s="722"/>
      <c r="D144" s="722"/>
      <c r="E144" s="745" t="s">
        <v>571</v>
      </c>
      <c r="F144" s="746"/>
      <c r="G144" s="746"/>
      <c r="H144" s="746"/>
      <c r="I144" s="746"/>
      <c r="J144" s="746"/>
      <c r="K144" s="746"/>
      <c r="L144" s="746"/>
      <c r="M144" s="746"/>
      <c r="N144" s="747"/>
      <c r="O144" s="724" t="str">
        <f>IF(Y144=0,IF(OR(FIO="",Y143="нет"),"-",0),"")</f>
        <v>-</v>
      </c>
      <c r="P144" s="724"/>
      <c r="Q144" s="724"/>
      <c r="R144" s="724"/>
      <c r="S144" s="774"/>
      <c r="T144" s="774"/>
      <c r="U144" s="774"/>
      <c r="V144" s="774"/>
      <c r="W144" s="775"/>
      <c r="X144" s="516"/>
      <c r="Y144" s="279">
        <f>SUM(S144)</f>
        <v>0</v>
      </c>
      <c r="Z144" s="263" t="s">
        <v>209</v>
      </c>
      <c r="AA144" s="264" t="s">
        <v>281</v>
      </c>
      <c r="AC144" s="355" t="s">
        <v>403</v>
      </c>
      <c r="AD144" s="301" t="str">
        <f>IF(z_kateg="высшая",AD136,"-")</f>
        <v>-</v>
      </c>
      <c r="AE144" s="566" t="str">
        <f>IF(z_kateg="высшая",AE136,"-")</f>
        <v>-</v>
      </c>
      <c r="AF144" s="566" t="str">
        <f>IF(z_kateg="высшая",AF136,"-")</f>
        <v>-</v>
      </c>
      <c r="AG144" s="301" t="str">
        <f>IF(z_kateg="высшая",AG136,"-")</f>
        <v>-</v>
      </c>
      <c r="AH144" s="530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ht="12.75" customHeight="1">
      <c r="A145" s="268"/>
      <c r="B145" s="732"/>
      <c r="C145" s="733"/>
      <c r="D145" s="733"/>
      <c r="E145" s="748"/>
      <c r="F145" s="749"/>
      <c r="G145" s="749"/>
      <c r="H145" s="749"/>
      <c r="I145" s="749"/>
      <c r="J145" s="749"/>
      <c r="K145" s="749"/>
      <c r="L145" s="749"/>
      <c r="M145" s="749"/>
      <c r="N145" s="750"/>
      <c r="O145" s="724"/>
      <c r="P145" s="724"/>
      <c r="Q145" s="724"/>
      <c r="R145" s="724"/>
      <c r="S145" s="780"/>
      <c r="T145" s="780"/>
      <c r="U145" s="780"/>
      <c r="V145" s="780"/>
      <c r="W145" s="781"/>
      <c r="X145" s="516"/>
      <c r="Y145" s="279"/>
      <c r="Z145" s="265">
        <v>100</v>
      </c>
      <c r="AA145" s="282">
        <v>60</v>
      </c>
      <c r="AC145" s="356" t="b">
        <f>OR(S144=0,$S$144="-")</f>
        <v>1</v>
      </c>
      <c r="AD145" s="201"/>
      <c r="AG145" s="13"/>
      <c r="AH145" s="530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2:45" ht="3.75" customHeight="1">
      <c r="B146" s="313"/>
      <c r="C146" s="313"/>
      <c r="D146" s="313"/>
      <c r="E146" s="313"/>
      <c r="F146" s="313"/>
      <c r="G146" s="313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  <c r="U146" s="313"/>
      <c r="V146" s="313"/>
      <c r="W146" s="313"/>
      <c r="X146" s="516"/>
      <c r="AG146" s="239"/>
      <c r="AH146" s="530"/>
      <c r="AI146" s="239"/>
      <c r="AJ146" s="239"/>
      <c r="AK146" s="239"/>
      <c r="AL146" s="239"/>
      <c r="AM146" s="239"/>
      <c r="AN146" s="239"/>
      <c r="AO146" s="239"/>
      <c r="AP146" s="13"/>
      <c r="AQ146" s="13"/>
      <c r="AR146" s="13"/>
      <c r="AS146" s="13"/>
    </row>
    <row r="147" spans="1:34" ht="12.75" customHeight="1" hidden="1">
      <c r="A147" s="482" t="s">
        <v>347</v>
      </c>
      <c r="B147" s="990" t="s">
        <v>348</v>
      </c>
      <c r="C147" s="990"/>
      <c r="D147" s="990"/>
      <c r="E147" s="990"/>
      <c r="F147" s="990"/>
      <c r="G147" s="990"/>
      <c r="H147" s="990"/>
      <c r="I147" s="990"/>
      <c r="J147" s="990"/>
      <c r="K147" s="990"/>
      <c r="L147" s="990"/>
      <c r="M147" s="990"/>
      <c r="N147" s="990"/>
      <c r="O147" s="990"/>
      <c r="P147" s="990"/>
      <c r="Q147" s="990"/>
      <c r="R147" s="990"/>
      <c r="S147" s="990"/>
      <c r="T147" s="990"/>
      <c r="U147" s="990"/>
      <c r="V147" s="990"/>
      <c r="W147" s="990"/>
      <c r="X147" s="516"/>
      <c r="AH147" s="530"/>
    </row>
    <row r="148" spans="1:34" ht="12.75" customHeight="1" hidden="1">
      <c r="A148" s="483"/>
      <c r="B148" s="990"/>
      <c r="C148" s="990"/>
      <c r="D148" s="990"/>
      <c r="E148" s="990"/>
      <c r="F148" s="990"/>
      <c r="G148" s="990"/>
      <c r="H148" s="990"/>
      <c r="I148" s="990"/>
      <c r="J148" s="990"/>
      <c r="K148" s="990"/>
      <c r="L148" s="990"/>
      <c r="M148" s="990"/>
      <c r="N148" s="990"/>
      <c r="O148" s="990"/>
      <c r="P148" s="990"/>
      <c r="Q148" s="990"/>
      <c r="R148" s="990"/>
      <c r="S148" s="990"/>
      <c r="T148" s="990"/>
      <c r="U148" s="990"/>
      <c r="V148" s="990"/>
      <c r="W148" s="990"/>
      <c r="X148" s="516"/>
      <c r="AH148" s="530"/>
    </row>
    <row r="149" spans="1:45" ht="3" customHeight="1" hidden="1">
      <c r="A149" s="483"/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516"/>
      <c r="AH149" s="530"/>
      <c r="AI149" s="239"/>
      <c r="AJ149" s="239"/>
      <c r="AK149" s="239"/>
      <c r="AL149" s="239"/>
      <c r="AM149" s="239"/>
      <c r="AN149" s="239"/>
      <c r="AO149" s="239"/>
      <c r="AP149" s="13"/>
      <c r="AQ149" s="13"/>
      <c r="AR149" s="13"/>
      <c r="AS149" s="13"/>
    </row>
    <row r="150" spans="1:45" ht="12.75" customHeight="1" hidden="1">
      <c r="A150" s="994" t="s">
        <v>204</v>
      </c>
      <c r="B150" s="975" t="s">
        <v>205</v>
      </c>
      <c r="C150" s="976"/>
      <c r="D150" s="976"/>
      <c r="E150" s="976"/>
      <c r="F150" s="976"/>
      <c r="G150" s="976"/>
      <c r="H150" s="976"/>
      <c r="I150" s="976"/>
      <c r="J150" s="976"/>
      <c r="K150" s="976"/>
      <c r="L150" s="976"/>
      <c r="M150" s="976"/>
      <c r="N150" s="977"/>
      <c r="O150" s="556" t="s">
        <v>206</v>
      </c>
      <c r="P150" s="556"/>
      <c r="Q150" s="556"/>
      <c r="R150" s="556"/>
      <c r="S150" s="556"/>
      <c r="T150" s="556"/>
      <c r="U150" s="556"/>
      <c r="V150" s="556"/>
      <c r="W150" s="556"/>
      <c r="X150" s="516"/>
      <c r="Z150" s="531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AA150" s="532"/>
      <c r="AB150" s="532"/>
      <c r="AC150" s="532"/>
      <c r="AD150" s="532"/>
      <c r="AE150" s="567"/>
      <c r="AF150" s="567"/>
      <c r="AG150" s="532"/>
      <c r="AH150" s="530"/>
      <c r="AI150" s="532"/>
      <c r="AJ150" s="532"/>
      <c r="AK150" s="532"/>
      <c r="AL150" s="533"/>
      <c r="AM150" s="209"/>
      <c r="AN150" s="209"/>
      <c r="AO150" s="209"/>
      <c r="AP150" s="13"/>
      <c r="AQ150" s="13"/>
      <c r="AR150" s="13"/>
      <c r="AS150" s="13"/>
    </row>
    <row r="151" spans="1:45" ht="14.25" customHeight="1" hidden="1">
      <c r="A151" s="995"/>
      <c r="B151" s="978"/>
      <c r="C151" s="979"/>
      <c r="D151" s="979"/>
      <c r="E151" s="979"/>
      <c r="F151" s="979"/>
      <c r="G151" s="979"/>
      <c r="H151" s="979"/>
      <c r="I151" s="979"/>
      <c r="J151" s="979"/>
      <c r="K151" s="979"/>
      <c r="L151" s="979"/>
      <c r="M151" s="979"/>
      <c r="N151" s="980"/>
      <c r="O151" s="556"/>
      <c r="P151" s="556"/>
      <c r="Q151" s="556"/>
      <c r="R151" s="556"/>
      <c r="S151" s="556"/>
      <c r="T151" s="556"/>
      <c r="U151" s="556"/>
      <c r="V151" s="556"/>
      <c r="W151" s="556"/>
      <c r="X151" s="516"/>
      <c r="Z151" s="534"/>
      <c r="AA151" s="535"/>
      <c r="AB151" s="535"/>
      <c r="AC151" s="535"/>
      <c r="AD151" s="535"/>
      <c r="AE151" s="568"/>
      <c r="AF151" s="568"/>
      <c r="AG151" s="535"/>
      <c r="AH151" s="530"/>
      <c r="AI151" s="535"/>
      <c r="AJ151" s="535"/>
      <c r="AK151" s="535"/>
      <c r="AL151" s="536"/>
      <c r="AM151" s="13"/>
      <c r="AN151" s="13"/>
      <c r="AO151" s="13"/>
      <c r="AP151" s="13"/>
      <c r="AQ151" s="13"/>
      <c r="AR151" s="13"/>
      <c r="AS151" s="13"/>
    </row>
    <row r="152" spans="1:45" ht="12.75" customHeight="1" hidden="1">
      <c r="A152" s="996"/>
      <c r="B152" s="981"/>
      <c r="C152" s="982"/>
      <c r="D152" s="982"/>
      <c r="E152" s="982"/>
      <c r="F152" s="982"/>
      <c r="G152" s="982"/>
      <c r="H152" s="982"/>
      <c r="I152" s="982"/>
      <c r="J152" s="982"/>
      <c r="K152" s="982"/>
      <c r="L152" s="982"/>
      <c r="M152" s="982"/>
      <c r="N152" s="983"/>
      <c r="O152" s="963">
        <v>0</v>
      </c>
      <c r="P152" s="964"/>
      <c r="Q152" s="964"/>
      <c r="R152" s="965"/>
      <c r="S152" s="962" t="s">
        <v>228</v>
      </c>
      <c r="T152" s="962"/>
      <c r="U152" s="962"/>
      <c r="V152" s="962"/>
      <c r="W152" s="962"/>
      <c r="X152" s="516"/>
      <c r="AB152" s="201" t="s">
        <v>414</v>
      </c>
      <c r="AG152" s="13"/>
      <c r="AH152" s="530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ht="12.75" customHeight="1" hidden="1">
      <c r="A153" s="485" t="s">
        <v>349</v>
      </c>
      <c r="B153" s="984" t="s">
        <v>311</v>
      </c>
      <c r="C153" s="985"/>
      <c r="D153" s="985"/>
      <c r="E153" s="985"/>
      <c r="F153" s="985"/>
      <c r="G153" s="985"/>
      <c r="H153" s="985"/>
      <c r="I153" s="985"/>
      <c r="J153" s="985"/>
      <c r="K153" s="985"/>
      <c r="L153" s="985"/>
      <c r="M153" s="985"/>
      <c r="N153" s="986"/>
      <c r="O153" s="885" t="s">
        <v>368</v>
      </c>
      <c r="P153" s="885"/>
      <c r="Q153" s="885"/>
      <c r="R153" s="886"/>
      <c r="S153" s="884" t="s">
        <v>350</v>
      </c>
      <c r="T153" s="885"/>
      <c r="U153" s="885"/>
      <c r="V153" s="885"/>
      <c r="W153" s="886"/>
      <c r="X153" s="516"/>
      <c r="AB153" s="201" t="s">
        <v>415</v>
      </c>
      <c r="AH153" s="530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ht="15" customHeight="1" hidden="1">
      <c r="A154" s="486"/>
      <c r="B154" s="987"/>
      <c r="C154" s="988"/>
      <c r="D154" s="988"/>
      <c r="E154" s="988"/>
      <c r="F154" s="988"/>
      <c r="G154" s="988"/>
      <c r="H154" s="988"/>
      <c r="I154" s="988"/>
      <c r="J154" s="988"/>
      <c r="K154" s="988"/>
      <c r="L154" s="988"/>
      <c r="M154" s="988"/>
      <c r="N154" s="989"/>
      <c r="O154" s="888"/>
      <c r="P154" s="888"/>
      <c r="Q154" s="888"/>
      <c r="R154" s="889"/>
      <c r="S154" s="887"/>
      <c r="T154" s="888"/>
      <c r="U154" s="888"/>
      <c r="V154" s="888"/>
      <c r="W154" s="889"/>
      <c r="X154" s="516"/>
      <c r="AB154" s="201" t="s">
        <v>416</v>
      </c>
      <c r="AH154" s="530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ht="2.25" customHeight="1" hidden="1">
      <c r="A155" s="486"/>
      <c r="B155" s="987"/>
      <c r="C155" s="988"/>
      <c r="D155" s="988"/>
      <c r="E155" s="988"/>
      <c r="F155" s="988"/>
      <c r="G155" s="988"/>
      <c r="H155" s="988"/>
      <c r="I155" s="988"/>
      <c r="J155" s="988"/>
      <c r="K155" s="988"/>
      <c r="L155" s="988"/>
      <c r="M155" s="988"/>
      <c r="N155" s="989"/>
      <c r="O155" s="888"/>
      <c r="P155" s="888"/>
      <c r="Q155" s="888"/>
      <c r="R155" s="889"/>
      <c r="S155" s="887"/>
      <c r="T155" s="888"/>
      <c r="U155" s="888"/>
      <c r="V155" s="888"/>
      <c r="W155" s="889"/>
      <c r="X155" s="516"/>
      <c r="AH155" s="530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ht="12.75" customHeight="1" hidden="1">
      <c r="A156" s="486"/>
      <c r="B156" s="956" t="s">
        <v>313</v>
      </c>
      <c r="C156" s="957"/>
      <c r="D156" s="957"/>
      <c r="E156" s="957"/>
      <c r="F156" s="957"/>
      <c r="G156" s="957"/>
      <c r="H156" s="957"/>
      <c r="I156" s="957"/>
      <c r="J156" s="957"/>
      <c r="K156" s="957"/>
      <c r="L156" s="957"/>
      <c r="M156" s="957"/>
      <c r="N156" s="958"/>
      <c r="O156" s="888"/>
      <c r="P156" s="888"/>
      <c r="Q156" s="888"/>
      <c r="R156" s="889"/>
      <c r="S156" s="890" t="s">
        <v>340</v>
      </c>
      <c r="T156" s="891"/>
      <c r="U156" s="891"/>
      <c r="V156" s="891"/>
      <c r="W156" s="892"/>
      <c r="X156" s="516"/>
      <c r="AA156" s="201" t="s">
        <v>413</v>
      </c>
      <c r="AH156" s="530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ht="21" customHeight="1" hidden="1">
      <c r="A157" s="486"/>
      <c r="B157" s="956"/>
      <c r="C157" s="957"/>
      <c r="D157" s="957"/>
      <c r="E157" s="957"/>
      <c r="F157" s="957"/>
      <c r="G157" s="957"/>
      <c r="H157" s="957"/>
      <c r="I157" s="957"/>
      <c r="J157" s="957"/>
      <c r="K157" s="957"/>
      <c r="L157" s="957"/>
      <c r="M157" s="957"/>
      <c r="N157" s="958"/>
      <c r="O157" s="888"/>
      <c r="P157" s="888"/>
      <c r="Q157" s="888"/>
      <c r="R157" s="889"/>
      <c r="S157" s="893" t="s">
        <v>266</v>
      </c>
      <c r="T157" s="894"/>
      <c r="U157" s="894"/>
      <c r="V157" s="894"/>
      <c r="W157" s="895"/>
      <c r="X157" s="516"/>
      <c r="AA157" s="201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530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ht="12.75" customHeight="1" hidden="1">
      <c r="A158" s="486"/>
      <c r="B158" s="959"/>
      <c r="C158" s="960"/>
      <c r="D158" s="960"/>
      <c r="E158" s="960"/>
      <c r="F158" s="960"/>
      <c r="G158" s="960"/>
      <c r="H158" s="960"/>
      <c r="I158" s="960"/>
      <c r="J158" s="960"/>
      <c r="K158" s="960"/>
      <c r="L158" s="960"/>
      <c r="M158" s="960"/>
      <c r="N158" s="961"/>
      <c r="O158" s="992"/>
      <c r="P158" s="992"/>
      <c r="Q158" s="992"/>
      <c r="R158" s="993"/>
      <c r="S158" s="896" t="s">
        <v>267</v>
      </c>
      <c r="T158" s="897"/>
      <c r="U158" s="897"/>
      <c r="V158" s="897"/>
      <c r="W158" s="898"/>
      <c r="X158" s="516"/>
      <c r="AD158" s="368" t="s">
        <v>403</v>
      </c>
      <c r="AH158" s="530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ht="17.25" customHeight="1" hidden="1">
      <c r="A159" s="486"/>
      <c r="B159" s="940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159" s="941"/>
      <c r="D159" s="941"/>
      <c r="E159" s="941"/>
      <c r="F159" s="941"/>
      <c r="G159" s="941"/>
      <c r="H159" s="941"/>
      <c r="I159" s="941"/>
      <c r="J159" s="941"/>
      <c r="K159" s="941"/>
      <c r="L159" s="941"/>
      <c r="M159" s="941"/>
      <c r="N159" s="942"/>
      <c r="O159" s="966" t="str">
        <f>IF(Y160=0,IF(OR(FIO="",AB160="нет"),"-",0),"")</f>
        <v>-</v>
      </c>
      <c r="P159" s="966"/>
      <c r="Q159" s="966"/>
      <c r="R159" s="966"/>
      <c r="S159" s="899" t="s">
        <v>404</v>
      </c>
      <c r="T159" s="900"/>
      <c r="U159" s="900"/>
      <c r="V159" s="900"/>
      <c r="W159" s="901"/>
      <c r="X159" s="516"/>
      <c r="Z159" s="263" t="s">
        <v>209</v>
      </c>
      <c r="AA159" s="264" t="s">
        <v>281</v>
      </c>
      <c r="AB159" s="178" t="s">
        <v>352</v>
      </c>
      <c r="AD159" s="301" t="str">
        <f>IF($AB$160="да",AD136,"-")</f>
        <v>-</v>
      </c>
      <c r="AE159" s="566" t="str">
        <f>IF($AB$160="да",AE136,"-")</f>
        <v>-</v>
      </c>
      <c r="AF159" s="566" t="str">
        <f>IF($AB$160="да",AF136,"-")</f>
        <v>-</v>
      </c>
      <c r="AG159" s="301" t="str">
        <f>IF($AB$160="да",AG136,"-")</f>
        <v>-</v>
      </c>
      <c r="AH159" s="530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ht="12.75" customHeight="1" hidden="1">
      <c r="A160" s="487"/>
      <c r="B160" s="943"/>
      <c r="C160" s="944"/>
      <c r="D160" s="944"/>
      <c r="E160" s="944"/>
      <c r="F160" s="944"/>
      <c r="G160" s="944"/>
      <c r="H160" s="944"/>
      <c r="I160" s="944"/>
      <c r="J160" s="944"/>
      <c r="K160" s="944"/>
      <c r="L160" s="944"/>
      <c r="M160" s="944"/>
      <c r="N160" s="945"/>
      <c r="O160" s="966"/>
      <c r="P160" s="966"/>
      <c r="Q160" s="966"/>
      <c r="R160" s="966"/>
      <c r="S160" s="902"/>
      <c r="T160" s="903"/>
      <c r="U160" s="903"/>
      <c r="V160" s="903"/>
      <c r="W160" s="904"/>
      <c r="X160" s="516"/>
      <c r="Y160" s="279">
        <f>IF(AB160="да",S159,0)</f>
        <v>0</v>
      </c>
      <c r="Z160" s="265">
        <f>IF(AB160="нет",0,100)</f>
        <v>0</v>
      </c>
      <c r="AA160" s="282">
        <f>IF(AB160="нет",0,60)</f>
        <v>0</v>
      </c>
      <c r="AB160" s="330" t="str">
        <f>'общие сведения'!K18</f>
        <v>нет</v>
      </c>
      <c r="AC160" s="356" t="b">
        <f>OR(S159=0,$S$159="-")</f>
        <v>1</v>
      </c>
      <c r="AH160" s="530"/>
      <c r="AI160" s="13" t="s">
        <v>5</v>
      </c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ht="11.25" customHeight="1" hidden="1">
      <c r="A161" s="260"/>
      <c r="B161" s="211"/>
      <c r="C161" s="211"/>
      <c r="D161" s="211"/>
      <c r="E161" s="211"/>
      <c r="F161" s="211"/>
      <c r="G161" s="256"/>
      <c r="H161" s="256"/>
      <c r="I161" s="256"/>
      <c r="J161" s="256"/>
      <c r="K161" s="256"/>
      <c r="L161" s="206"/>
      <c r="M161" s="206"/>
      <c r="N161" s="206"/>
      <c r="O161" s="206"/>
      <c r="P161" s="206"/>
      <c r="Q161" s="206"/>
      <c r="R161" s="206"/>
      <c r="S161" s="207"/>
      <c r="T161" s="207"/>
      <c r="U161" s="207"/>
      <c r="V161" s="207"/>
      <c r="W161" s="207"/>
      <c r="X161" s="516"/>
      <c r="AD161" s="201"/>
      <c r="AG161" s="13"/>
      <c r="AH161" s="530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34" ht="12.75">
      <c r="A162" s="179"/>
      <c r="B162" s="294"/>
      <c r="C162" s="294"/>
      <c r="D162" s="294"/>
      <c r="E162" s="294"/>
      <c r="F162" s="294"/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516"/>
      <c r="AA162" s="263" t="s">
        <v>282</v>
      </c>
      <c r="AB162" s="263" t="s">
        <v>209</v>
      </c>
      <c r="AC162" s="295" t="s">
        <v>281</v>
      </c>
      <c r="AD162" s="201"/>
      <c r="AE162" s="560" t="s">
        <v>283</v>
      </c>
      <c r="AH162" s="530"/>
    </row>
    <row r="163" spans="1:45" ht="31.5" customHeight="1">
      <c r="A163" s="586" t="s">
        <v>268</v>
      </c>
      <c r="B163" s="744" t="s">
        <v>586</v>
      </c>
      <c r="C163" s="744"/>
      <c r="D163" s="744"/>
      <c r="E163" s="744"/>
      <c r="F163" s="744"/>
      <c r="G163" s="744"/>
      <c r="H163" s="744"/>
      <c r="I163" s="744"/>
      <c r="J163" s="744"/>
      <c r="K163" s="744"/>
      <c r="L163" s="744"/>
      <c r="M163" s="744"/>
      <c r="N163" s="744"/>
      <c r="O163" s="744"/>
      <c r="P163" s="744"/>
      <c r="Q163" s="744"/>
      <c r="R163" s="744"/>
      <c r="S163" s="744"/>
      <c r="T163" s="744"/>
      <c r="U163" s="744"/>
      <c r="V163" s="744"/>
      <c r="W163" s="744"/>
      <c r="X163" s="516"/>
      <c r="Y163" s="302" t="str">
        <f>A163</f>
        <v>2. </v>
      </c>
      <c r="Z163" s="283" t="s">
        <v>287</v>
      </c>
      <c r="AA163" s="280">
        <f>SUM(Y164:Y217)</f>
        <v>0</v>
      </c>
      <c r="AB163" s="281">
        <f>SUM(Z164:Z217)</f>
        <v>220</v>
      </c>
      <c r="AC163" s="329">
        <f>SUM(AA164:AA217)</f>
        <v>10</v>
      </c>
      <c r="AD163" s="201"/>
      <c r="AE163" s="560" t="b">
        <f>итого_2&gt;=AC163</f>
        <v>0</v>
      </c>
      <c r="AH163" s="530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ht="13.5">
      <c r="A164" s="849" t="s">
        <v>202</v>
      </c>
      <c r="B164" s="849"/>
      <c r="C164" s="849"/>
      <c r="D164" s="849"/>
      <c r="E164" s="849"/>
      <c r="F164" s="849"/>
      <c r="G164" s="849"/>
      <c r="H164" s="849"/>
      <c r="I164" s="849"/>
      <c r="J164" s="849"/>
      <c r="K164" s="849"/>
      <c r="L164" s="849"/>
      <c r="M164" s="849"/>
      <c r="N164" s="849"/>
      <c r="O164" s="849"/>
      <c r="P164" s="849"/>
      <c r="Q164" s="849"/>
      <c r="R164" s="849"/>
      <c r="S164" s="849"/>
      <c r="T164" s="849"/>
      <c r="U164" s="849"/>
      <c r="V164" s="849"/>
      <c r="W164" s="849"/>
      <c r="X164" s="516"/>
      <c r="AD164" s="201"/>
      <c r="AH164" s="530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ht="12.75">
      <c r="A165" s="216" t="s">
        <v>203</v>
      </c>
      <c r="B165" s="751" t="s">
        <v>310</v>
      </c>
      <c r="C165" s="751"/>
      <c r="D165" s="751"/>
      <c r="E165" s="751"/>
      <c r="F165" s="751"/>
      <c r="G165" s="751"/>
      <c r="H165" s="751"/>
      <c r="I165" s="751"/>
      <c r="J165" s="751"/>
      <c r="K165" s="751"/>
      <c r="L165" s="751"/>
      <c r="M165" s="751"/>
      <c r="N165" s="751"/>
      <c r="O165" s="751"/>
      <c r="P165" s="751"/>
      <c r="Q165" s="751"/>
      <c r="R165" s="751"/>
      <c r="S165" s="751"/>
      <c r="T165" s="751"/>
      <c r="U165" s="751"/>
      <c r="V165" s="751"/>
      <c r="W165" s="751"/>
      <c r="X165" s="516"/>
      <c r="AH165" s="530"/>
      <c r="AM165" s="13"/>
      <c r="AN165" s="13"/>
      <c r="AO165" s="13"/>
      <c r="AP165" s="13"/>
      <c r="AQ165" s="13"/>
      <c r="AR165" s="13"/>
      <c r="AS165" s="13"/>
    </row>
    <row r="166" spans="1:45" ht="6" customHeight="1">
      <c r="A166" s="273"/>
      <c r="B166" s="751"/>
      <c r="C166" s="751"/>
      <c r="D166" s="751"/>
      <c r="E166" s="751"/>
      <c r="F166" s="751"/>
      <c r="G166" s="751"/>
      <c r="H166" s="751"/>
      <c r="I166" s="751"/>
      <c r="J166" s="751"/>
      <c r="K166" s="751"/>
      <c r="L166" s="751"/>
      <c r="M166" s="751"/>
      <c r="N166" s="751"/>
      <c r="O166" s="751"/>
      <c r="P166" s="751"/>
      <c r="Q166" s="751"/>
      <c r="R166" s="751"/>
      <c r="S166" s="751"/>
      <c r="T166" s="751"/>
      <c r="U166" s="751"/>
      <c r="V166" s="751"/>
      <c r="W166" s="751"/>
      <c r="X166" s="516"/>
      <c r="AH166" s="530"/>
      <c r="AM166" s="13"/>
      <c r="AN166" s="13"/>
      <c r="AO166" s="13"/>
      <c r="AP166" s="13"/>
      <c r="AQ166" s="13"/>
      <c r="AR166" s="13"/>
      <c r="AS166" s="13"/>
    </row>
    <row r="167" spans="1:45" ht="11.25" customHeight="1">
      <c r="A167" s="273"/>
      <c r="B167" s="751"/>
      <c r="C167" s="751"/>
      <c r="D167" s="751"/>
      <c r="E167" s="751"/>
      <c r="F167" s="751"/>
      <c r="G167" s="751"/>
      <c r="H167" s="751"/>
      <c r="I167" s="751"/>
      <c r="J167" s="751"/>
      <c r="K167" s="751"/>
      <c r="L167" s="751"/>
      <c r="M167" s="751"/>
      <c r="N167" s="751"/>
      <c r="O167" s="751"/>
      <c r="P167" s="751"/>
      <c r="Q167" s="751"/>
      <c r="R167" s="751"/>
      <c r="S167" s="751"/>
      <c r="T167" s="751"/>
      <c r="U167" s="751"/>
      <c r="V167" s="751"/>
      <c r="W167" s="751"/>
      <c r="X167" s="516"/>
      <c r="Z167" s="13"/>
      <c r="AH167" s="530"/>
      <c r="AN167" s="13"/>
      <c r="AO167" s="13"/>
      <c r="AP167" s="13"/>
      <c r="AQ167" s="13"/>
      <c r="AR167" s="13"/>
      <c r="AS167" s="13"/>
    </row>
    <row r="168" spans="1:45" ht="12.75">
      <c r="A168" s="216" t="s">
        <v>203</v>
      </c>
      <c r="B168" s="751" t="s">
        <v>309</v>
      </c>
      <c r="C168" s="751"/>
      <c r="D168" s="751"/>
      <c r="E168" s="751"/>
      <c r="F168" s="751"/>
      <c r="G168" s="751"/>
      <c r="H168" s="751"/>
      <c r="I168" s="751"/>
      <c r="J168" s="751"/>
      <c r="K168" s="751"/>
      <c r="L168" s="751"/>
      <c r="M168" s="751"/>
      <c r="N168" s="751"/>
      <c r="O168" s="751"/>
      <c r="P168" s="751"/>
      <c r="Q168" s="751"/>
      <c r="R168" s="751"/>
      <c r="S168" s="751"/>
      <c r="T168" s="751"/>
      <c r="U168" s="751"/>
      <c r="V168" s="751"/>
      <c r="W168" s="751"/>
      <c r="X168" s="516"/>
      <c r="AH168" s="530"/>
      <c r="AN168" s="13"/>
      <c r="AO168" s="13"/>
      <c r="AP168" s="13"/>
      <c r="AQ168" s="13"/>
      <c r="AR168" s="13"/>
      <c r="AS168" s="13"/>
    </row>
    <row r="169" spans="2:45" ht="12.75">
      <c r="B169" s="751"/>
      <c r="C169" s="751"/>
      <c r="D169" s="751"/>
      <c r="E169" s="751"/>
      <c r="F169" s="751"/>
      <c r="G169" s="751"/>
      <c r="H169" s="751"/>
      <c r="I169" s="751"/>
      <c r="J169" s="751"/>
      <c r="K169" s="751"/>
      <c r="L169" s="751"/>
      <c r="M169" s="751"/>
      <c r="N169" s="751"/>
      <c r="O169" s="751"/>
      <c r="P169" s="751"/>
      <c r="Q169" s="751"/>
      <c r="R169" s="751"/>
      <c r="S169" s="751"/>
      <c r="T169" s="751"/>
      <c r="U169" s="751"/>
      <c r="V169" s="751"/>
      <c r="W169" s="751"/>
      <c r="X169" s="516"/>
      <c r="AH169" s="530"/>
      <c r="AM169" s="13"/>
      <c r="AN169" s="13"/>
      <c r="AO169" s="13"/>
      <c r="AP169" s="13"/>
      <c r="AQ169" s="13"/>
      <c r="AR169" s="13"/>
      <c r="AS169" s="13"/>
    </row>
    <row r="170" spans="2:45" ht="12.75">
      <c r="B170" s="751"/>
      <c r="C170" s="751"/>
      <c r="D170" s="751"/>
      <c r="E170" s="751"/>
      <c r="F170" s="751"/>
      <c r="G170" s="751"/>
      <c r="H170" s="751"/>
      <c r="I170" s="751"/>
      <c r="J170" s="751"/>
      <c r="K170" s="751"/>
      <c r="L170" s="751"/>
      <c r="M170" s="751"/>
      <c r="N170" s="751"/>
      <c r="O170" s="751"/>
      <c r="P170" s="751"/>
      <c r="Q170" s="751"/>
      <c r="R170" s="751"/>
      <c r="S170" s="751"/>
      <c r="T170" s="751"/>
      <c r="U170" s="751"/>
      <c r="V170" s="751"/>
      <c r="W170" s="751"/>
      <c r="X170" s="516"/>
      <c r="AH170" s="530"/>
      <c r="AM170" s="13"/>
      <c r="AN170" s="13"/>
      <c r="AO170" s="13"/>
      <c r="AP170" s="13"/>
      <c r="AQ170" s="13"/>
      <c r="AR170" s="13"/>
      <c r="AS170" s="13"/>
    </row>
    <row r="171" spans="2:34" ht="8.25" customHeight="1">
      <c r="B171" s="751"/>
      <c r="C171" s="751"/>
      <c r="D171" s="751"/>
      <c r="E171" s="751"/>
      <c r="F171" s="751"/>
      <c r="G171" s="751"/>
      <c r="H171" s="751"/>
      <c r="I171" s="751"/>
      <c r="J171" s="751"/>
      <c r="K171" s="751"/>
      <c r="L171" s="751"/>
      <c r="M171" s="751"/>
      <c r="N171" s="751"/>
      <c r="O171" s="751"/>
      <c r="P171" s="751"/>
      <c r="Q171" s="751"/>
      <c r="R171" s="751"/>
      <c r="S171" s="751"/>
      <c r="T171" s="751"/>
      <c r="U171" s="751"/>
      <c r="V171" s="751"/>
      <c r="W171" s="751"/>
      <c r="X171" s="516"/>
      <c r="AH171" s="530"/>
    </row>
    <row r="172" spans="1:34" ht="14.25">
      <c r="A172" s="757" t="s">
        <v>204</v>
      </c>
      <c r="B172" s="760" t="s">
        <v>205</v>
      </c>
      <c r="C172" s="761"/>
      <c r="D172" s="761"/>
      <c r="E172" s="761"/>
      <c r="F172" s="761"/>
      <c r="G172" s="761"/>
      <c r="H172" s="761"/>
      <c r="I172" s="766" t="s">
        <v>206</v>
      </c>
      <c r="J172" s="767"/>
      <c r="K172" s="767"/>
      <c r="L172" s="767"/>
      <c r="M172" s="767"/>
      <c r="N172" s="767"/>
      <c r="O172" s="767"/>
      <c r="P172" s="767"/>
      <c r="Q172" s="767"/>
      <c r="R172" s="767"/>
      <c r="S172" s="767"/>
      <c r="T172" s="767"/>
      <c r="U172" s="767"/>
      <c r="V172" s="767"/>
      <c r="W172" s="768"/>
      <c r="X172" s="516"/>
      <c r="AH172" s="530"/>
    </row>
    <row r="173" spans="1:34" ht="14.25" customHeight="1">
      <c r="A173" s="758"/>
      <c r="B173" s="762"/>
      <c r="C173" s="763"/>
      <c r="D173" s="763"/>
      <c r="E173" s="763"/>
      <c r="F173" s="763"/>
      <c r="G173" s="763"/>
      <c r="H173" s="763"/>
      <c r="I173" s="769" t="s">
        <v>207</v>
      </c>
      <c r="J173" s="770"/>
      <c r="K173" s="770"/>
      <c r="L173" s="770"/>
      <c r="M173" s="770"/>
      <c r="N173" s="770"/>
      <c r="O173" s="770"/>
      <c r="P173" s="770"/>
      <c r="Q173" s="770"/>
      <c r="R173" s="770"/>
      <c r="S173" s="770"/>
      <c r="T173" s="770"/>
      <c r="U173" s="770"/>
      <c r="V173" s="770"/>
      <c r="W173" s="771"/>
      <c r="X173" s="516"/>
      <c r="AH173" s="530"/>
    </row>
    <row r="174" spans="1:34" ht="14.25" customHeight="1">
      <c r="A174" s="759"/>
      <c r="B174" s="764"/>
      <c r="C174" s="765"/>
      <c r="D174" s="765"/>
      <c r="E174" s="765"/>
      <c r="F174" s="765"/>
      <c r="G174" s="765"/>
      <c r="H174" s="765"/>
      <c r="I174" s="717">
        <v>0</v>
      </c>
      <c r="J174" s="717"/>
      <c r="K174" s="717"/>
      <c r="L174" s="717"/>
      <c r="M174" s="717"/>
      <c r="N174" s="717" t="s">
        <v>269</v>
      </c>
      <c r="O174" s="717"/>
      <c r="P174" s="717"/>
      <c r="Q174" s="717"/>
      <c r="R174" s="717"/>
      <c r="S174" s="717">
        <v>30</v>
      </c>
      <c r="T174" s="717"/>
      <c r="U174" s="717"/>
      <c r="V174" s="717"/>
      <c r="W174" s="717"/>
      <c r="X174" s="516"/>
      <c r="AH174" s="530"/>
    </row>
    <row r="175" spans="1:34" ht="12.75" customHeight="1">
      <c r="A175" s="737" t="s">
        <v>425</v>
      </c>
      <c r="B175" s="718" t="s">
        <v>574</v>
      </c>
      <c r="C175" s="719"/>
      <c r="D175" s="719"/>
      <c r="E175" s="719"/>
      <c r="F175" s="719"/>
      <c r="G175" s="719"/>
      <c r="H175" s="720"/>
      <c r="I175" s="726" t="s">
        <v>534</v>
      </c>
      <c r="J175" s="727"/>
      <c r="K175" s="727"/>
      <c r="L175" s="727"/>
      <c r="M175" s="728"/>
      <c r="N175" s="726" t="s">
        <v>535</v>
      </c>
      <c r="O175" s="727"/>
      <c r="P175" s="727"/>
      <c r="Q175" s="727"/>
      <c r="R175" s="728"/>
      <c r="S175" s="726" t="s">
        <v>536</v>
      </c>
      <c r="T175" s="727"/>
      <c r="U175" s="727"/>
      <c r="V175" s="727"/>
      <c r="W175" s="728"/>
      <c r="X175" s="516"/>
      <c r="AH175" s="530"/>
    </row>
    <row r="176" spans="1:34" ht="12.75" customHeight="1">
      <c r="A176" s="738"/>
      <c r="B176" s="721"/>
      <c r="C176" s="722"/>
      <c r="D176" s="722"/>
      <c r="E176" s="722"/>
      <c r="F176" s="722"/>
      <c r="G176" s="722"/>
      <c r="H176" s="723"/>
      <c r="I176" s="729"/>
      <c r="J176" s="730"/>
      <c r="K176" s="730"/>
      <c r="L176" s="730"/>
      <c r="M176" s="731"/>
      <c r="N176" s="729"/>
      <c r="O176" s="730"/>
      <c r="P176" s="730"/>
      <c r="Q176" s="730"/>
      <c r="R176" s="731"/>
      <c r="S176" s="729"/>
      <c r="T176" s="730"/>
      <c r="U176" s="730"/>
      <c r="V176" s="730"/>
      <c r="W176" s="731"/>
      <c r="X176" s="516"/>
      <c r="AH176" s="530"/>
    </row>
    <row r="177" spans="1:34" ht="12.75">
      <c r="A177" s="738"/>
      <c r="B177" s="721"/>
      <c r="C177" s="722"/>
      <c r="D177" s="722"/>
      <c r="E177" s="722"/>
      <c r="F177" s="722"/>
      <c r="G177" s="722"/>
      <c r="H177" s="723"/>
      <c r="I177" s="729"/>
      <c r="J177" s="730"/>
      <c r="K177" s="730"/>
      <c r="L177" s="730"/>
      <c r="M177" s="731"/>
      <c r="N177" s="729"/>
      <c r="O177" s="730"/>
      <c r="P177" s="730"/>
      <c r="Q177" s="730"/>
      <c r="R177" s="731"/>
      <c r="S177" s="729"/>
      <c r="T177" s="730"/>
      <c r="U177" s="730"/>
      <c r="V177" s="730"/>
      <c r="W177" s="731"/>
      <c r="X177" s="516"/>
      <c r="AH177" s="530"/>
    </row>
    <row r="178" spans="1:34" ht="2.25" customHeight="1">
      <c r="A178" s="738"/>
      <c r="B178" s="721"/>
      <c r="C178" s="722"/>
      <c r="D178" s="722"/>
      <c r="E178" s="722"/>
      <c r="F178" s="722"/>
      <c r="G178" s="722"/>
      <c r="H178" s="723"/>
      <c r="I178" s="740"/>
      <c r="J178" s="741"/>
      <c r="K178" s="741"/>
      <c r="L178" s="741"/>
      <c r="M178" s="742"/>
      <c r="N178" s="740"/>
      <c r="O178" s="741"/>
      <c r="P178" s="741"/>
      <c r="Q178" s="741"/>
      <c r="R178" s="742"/>
      <c r="S178" s="740"/>
      <c r="T178" s="741"/>
      <c r="U178" s="741"/>
      <c r="V178" s="741"/>
      <c r="W178" s="742"/>
      <c r="X178" s="516"/>
      <c r="Y178" s="13"/>
      <c r="Z178" s="255"/>
      <c r="AB178" s="291"/>
      <c r="AC178" s="13"/>
      <c r="AD178" s="13"/>
      <c r="AH178" s="530"/>
    </row>
    <row r="179" spans="1:34" ht="12.75" customHeight="1">
      <c r="A179" s="738"/>
      <c r="B179" s="721"/>
      <c r="C179" s="722"/>
      <c r="D179" s="722"/>
      <c r="E179" s="722"/>
      <c r="F179" s="722"/>
      <c r="G179" s="722"/>
      <c r="H179" s="723"/>
      <c r="I179" s="724">
        <f>IF(Y180=0,IF(FIO="","",0),"")</f>
      </c>
      <c r="J179" s="724"/>
      <c r="K179" s="724"/>
      <c r="L179" s="724"/>
      <c r="M179" s="724"/>
      <c r="N179" s="725"/>
      <c r="O179" s="725"/>
      <c r="P179" s="725"/>
      <c r="Q179" s="725"/>
      <c r="R179" s="725"/>
      <c r="S179" s="725"/>
      <c r="T179" s="725"/>
      <c r="U179" s="725"/>
      <c r="V179" s="725"/>
      <c r="W179" s="725"/>
      <c r="X179" s="516"/>
      <c r="Z179" s="263" t="s">
        <v>209</v>
      </c>
      <c r="AH179" s="530"/>
    </row>
    <row r="180" spans="1:34" ht="12.75" customHeight="1">
      <c r="A180" s="739"/>
      <c r="B180" s="732"/>
      <c r="C180" s="733"/>
      <c r="D180" s="733"/>
      <c r="E180" s="733"/>
      <c r="F180" s="733"/>
      <c r="G180" s="733"/>
      <c r="H180" s="734"/>
      <c r="I180" s="724"/>
      <c r="J180" s="724"/>
      <c r="K180" s="724"/>
      <c r="L180" s="724"/>
      <c r="M180" s="724"/>
      <c r="N180" s="725"/>
      <c r="O180" s="725"/>
      <c r="P180" s="725"/>
      <c r="Q180" s="725"/>
      <c r="R180" s="725"/>
      <c r="S180" s="725"/>
      <c r="T180" s="725"/>
      <c r="U180" s="725"/>
      <c r="V180" s="725"/>
      <c r="W180" s="725"/>
      <c r="X180" s="516"/>
      <c r="Y180" s="279">
        <f>MAX(N179:W180)</f>
        <v>0</v>
      </c>
      <c r="Z180" s="265">
        <v>30</v>
      </c>
      <c r="AH180" s="530"/>
    </row>
    <row r="181" spans="1:34" ht="12.75" customHeight="1">
      <c r="A181" s="737" t="s">
        <v>426</v>
      </c>
      <c r="B181" s="718" t="s">
        <v>575</v>
      </c>
      <c r="C181" s="719"/>
      <c r="D181" s="719"/>
      <c r="E181" s="719"/>
      <c r="F181" s="719"/>
      <c r="G181" s="719"/>
      <c r="H181" s="720"/>
      <c r="I181" s="726" t="s">
        <v>534</v>
      </c>
      <c r="J181" s="727"/>
      <c r="K181" s="727"/>
      <c r="L181" s="727"/>
      <c r="M181" s="728"/>
      <c r="N181" s="726" t="s">
        <v>535</v>
      </c>
      <c r="O181" s="727"/>
      <c r="P181" s="727"/>
      <c r="Q181" s="727"/>
      <c r="R181" s="728"/>
      <c r="S181" s="726" t="s">
        <v>536</v>
      </c>
      <c r="T181" s="727"/>
      <c r="U181" s="727"/>
      <c r="V181" s="727"/>
      <c r="W181" s="728"/>
      <c r="X181" s="516"/>
      <c r="AH181" s="530"/>
    </row>
    <row r="182" spans="1:34" ht="12.75" customHeight="1">
      <c r="A182" s="738"/>
      <c r="B182" s="721"/>
      <c r="C182" s="722"/>
      <c r="D182" s="722"/>
      <c r="E182" s="722"/>
      <c r="F182" s="722"/>
      <c r="G182" s="722"/>
      <c r="H182" s="723"/>
      <c r="I182" s="729"/>
      <c r="J182" s="730"/>
      <c r="K182" s="730"/>
      <c r="L182" s="730"/>
      <c r="M182" s="731"/>
      <c r="N182" s="729"/>
      <c r="O182" s="730"/>
      <c r="P182" s="730"/>
      <c r="Q182" s="730"/>
      <c r="R182" s="731"/>
      <c r="S182" s="729"/>
      <c r="T182" s="730"/>
      <c r="U182" s="730"/>
      <c r="V182" s="730"/>
      <c r="W182" s="731"/>
      <c r="X182" s="516"/>
      <c r="AH182" s="530"/>
    </row>
    <row r="183" spans="1:34" ht="12.75">
      <c r="A183" s="738"/>
      <c r="B183" s="721"/>
      <c r="C183" s="722"/>
      <c r="D183" s="722"/>
      <c r="E183" s="722"/>
      <c r="F183" s="722"/>
      <c r="G183" s="722"/>
      <c r="H183" s="723"/>
      <c r="I183" s="729"/>
      <c r="J183" s="730"/>
      <c r="K183" s="730"/>
      <c r="L183" s="730"/>
      <c r="M183" s="731"/>
      <c r="N183" s="729"/>
      <c r="O183" s="730"/>
      <c r="P183" s="730"/>
      <c r="Q183" s="730"/>
      <c r="R183" s="731"/>
      <c r="S183" s="729"/>
      <c r="T183" s="730"/>
      <c r="U183" s="730"/>
      <c r="V183" s="730"/>
      <c r="W183" s="731"/>
      <c r="X183" s="516"/>
      <c r="AH183" s="530"/>
    </row>
    <row r="184" spans="1:34" ht="2.25" customHeight="1">
      <c r="A184" s="738"/>
      <c r="B184" s="721"/>
      <c r="C184" s="722"/>
      <c r="D184" s="722"/>
      <c r="E184" s="722"/>
      <c r="F184" s="722"/>
      <c r="G184" s="722"/>
      <c r="H184" s="723"/>
      <c r="I184" s="740"/>
      <c r="J184" s="741"/>
      <c r="K184" s="741"/>
      <c r="L184" s="741"/>
      <c r="M184" s="742"/>
      <c r="N184" s="740"/>
      <c r="O184" s="741"/>
      <c r="P184" s="741"/>
      <c r="Q184" s="741"/>
      <c r="R184" s="742"/>
      <c r="S184" s="740"/>
      <c r="T184" s="741"/>
      <c r="U184" s="741"/>
      <c r="V184" s="741"/>
      <c r="W184" s="742"/>
      <c r="X184" s="516"/>
      <c r="Y184" s="13"/>
      <c r="Z184" s="255"/>
      <c r="AB184" s="291"/>
      <c r="AC184" s="13"/>
      <c r="AD184" s="13"/>
      <c r="AH184" s="530"/>
    </row>
    <row r="185" spans="1:34" ht="12.75" customHeight="1">
      <c r="A185" s="738"/>
      <c r="B185" s="721"/>
      <c r="C185" s="722"/>
      <c r="D185" s="722"/>
      <c r="E185" s="722"/>
      <c r="F185" s="722"/>
      <c r="G185" s="722"/>
      <c r="H185" s="723"/>
      <c r="I185" s="724">
        <f>IF(Y186=0,IF(FIO="","",0),"")</f>
      </c>
      <c r="J185" s="724"/>
      <c r="K185" s="724"/>
      <c r="L185" s="724"/>
      <c r="M185" s="724"/>
      <c r="N185" s="725"/>
      <c r="O185" s="725"/>
      <c r="P185" s="725"/>
      <c r="Q185" s="725"/>
      <c r="R185" s="725"/>
      <c r="S185" s="725"/>
      <c r="T185" s="725"/>
      <c r="U185" s="725"/>
      <c r="V185" s="725"/>
      <c r="W185" s="725"/>
      <c r="X185" s="516"/>
      <c r="Z185" s="263" t="s">
        <v>209</v>
      </c>
      <c r="AH185" s="530"/>
    </row>
    <row r="186" spans="1:34" ht="12.75" customHeight="1">
      <c r="A186" s="739"/>
      <c r="B186" s="732"/>
      <c r="C186" s="733"/>
      <c r="D186" s="733"/>
      <c r="E186" s="733"/>
      <c r="F186" s="733"/>
      <c r="G186" s="733"/>
      <c r="H186" s="734"/>
      <c r="I186" s="724"/>
      <c r="J186" s="724"/>
      <c r="K186" s="724"/>
      <c r="L186" s="724"/>
      <c r="M186" s="724"/>
      <c r="N186" s="725"/>
      <c r="O186" s="725"/>
      <c r="P186" s="725"/>
      <c r="Q186" s="725"/>
      <c r="R186" s="725"/>
      <c r="S186" s="725"/>
      <c r="T186" s="725"/>
      <c r="U186" s="725"/>
      <c r="V186" s="725"/>
      <c r="W186" s="725"/>
      <c r="X186" s="516"/>
      <c r="Y186" s="279">
        <f>MAX(N185:W186)</f>
        <v>0</v>
      </c>
      <c r="Z186" s="265">
        <v>30</v>
      </c>
      <c r="AH186" s="530"/>
    </row>
    <row r="187" spans="1:34" ht="12.75" customHeight="1">
      <c r="A187" s="737" t="s">
        <v>427</v>
      </c>
      <c r="B187" s="718" t="s">
        <v>576</v>
      </c>
      <c r="C187" s="719"/>
      <c r="D187" s="719"/>
      <c r="E187" s="719"/>
      <c r="F187" s="719"/>
      <c r="G187" s="719"/>
      <c r="H187" s="720"/>
      <c r="I187" s="726" t="s">
        <v>534</v>
      </c>
      <c r="J187" s="727"/>
      <c r="K187" s="727"/>
      <c r="L187" s="727"/>
      <c r="M187" s="728"/>
      <c r="N187" s="726" t="s">
        <v>535</v>
      </c>
      <c r="O187" s="727"/>
      <c r="P187" s="727"/>
      <c r="Q187" s="727"/>
      <c r="R187" s="728"/>
      <c r="S187" s="726" t="s">
        <v>536</v>
      </c>
      <c r="T187" s="727"/>
      <c r="U187" s="727"/>
      <c r="V187" s="727"/>
      <c r="W187" s="728"/>
      <c r="X187" s="516"/>
      <c r="AH187" s="530"/>
    </row>
    <row r="188" spans="1:34" ht="12.75" customHeight="1">
      <c r="A188" s="738"/>
      <c r="B188" s="721"/>
      <c r="C188" s="722"/>
      <c r="D188" s="722"/>
      <c r="E188" s="722"/>
      <c r="F188" s="722"/>
      <c r="G188" s="722"/>
      <c r="H188" s="723"/>
      <c r="I188" s="729"/>
      <c r="J188" s="730"/>
      <c r="K188" s="730"/>
      <c r="L188" s="730"/>
      <c r="M188" s="731"/>
      <c r="N188" s="729"/>
      <c r="O188" s="730"/>
      <c r="P188" s="730"/>
      <c r="Q188" s="730"/>
      <c r="R188" s="731"/>
      <c r="S188" s="729"/>
      <c r="T188" s="730"/>
      <c r="U188" s="730"/>
      <c r="V188" s="730"/>
      <c r="W188" s="731"/>
      <c r="X188" s="516"/>
      <c r="AH188" s="530"/>
    </row>
    <row r="189" spans="1:34" ht="12.75">
      <c r="A189" s="738"/>
      <c r="B189" s="721"/>
      <c r="C189" s="722"/>
      <c r="D189" s="722"/>
      <c r="E189" s="722"/>
      <c r="F189" s="722"/>
      <c r="G189" s="722"/>
      <c r="H189" s="723"/>
      <c r="I189" s="729"/>
      <c r="J189" s="730"/>
      <c r="K189" s="730"/>
      <c r="L189" s="730"/>
      <c r="M189" s="731"/>
      <c r="N189" s="729"/>
      <c r="O189" s="730"/>
      <c r="P189" s="730"/>
      <c r="Q189" s="730"/>
      <c r="R189" s="731"/>
      <c r="S189" s="729"/>
      <c r="T189" s="730"/>
      <c r="U189" s="730"/>
      <c r="V189" s="730"/>
      <c r="W189" s="731"/>
      <c r="X189" s="516"/>
      <c r="AH189" s="530"/>
    </row>
    <row r="190" spans="1:34" ht="2.25" customHeight="1">
      <c r="A190" s="738"/>
      <c r="B190" s="721"/>
      <c r="C190" s="722"/>
      <c r="D190" s="722"/>
      <c r="E190" s="722"/>
      <c r="F190" s="722"/>
      <c r="G190" s="722"/>
      <c r="H190" s="723"/>
      <c r="I190" s="740"/>
      <c r="J190" s="741"/>
      <c r="K190" s="741"/>
      <c r="L190" s="741"/>
      <c r="M190" s="742"/>
      <c r="N190" s="740"/>
      <c r="O190" s="741"/>
      <c r="P190" s="741"/>
      <c r="Q190" s="741"/>
      <c r="R190" s="742"/>
      <c r="S190" s="740"/>
      <c r="T190" s="741"/>
      <c r="U190" s="741"/>
      <c r="V190" s="741"/>
      <c r="W190" s="742"/>
      <c r="X190" s="516"/>
      <c r="Y190" s="13"/>
      <c r="Z190" s="255"/>
      <c r="AB190" s="291"/>
      <c r="AC190" s="13"/>
      <c r="AD190" s="13"/>
      <c r="AH190" s="530"/>
    </row>
    <row r="191" spans="1:34" ht="12.75" customHeight="1">
      <c r="A191" s="738"/>
      <c r="B191" s="721"/>
      <c r="C191" s="722"/>
      <c r="D191" s="722"/>
      <c r="E191" s="722"/>
      <c r="F191" s="722"/>
      <c r="G191" s="722"/>
      <c r="H191" s="723"/>
      <c r="I191" s="724">
        <f>IF(Y192=0,IF(FIO="","",0),"")</f>
      </c>
      <c r="J191" s="724"/>
      <c r="K191" s="724"/>
      <c r="L191" s="724"/>
      <c r="M191" s="724"/>
      <c r="N191" s="725"/>
      <c r="O191" s="725"/>
      <c r="P191" s="725"/>
      <c r="Q191" s="725"/>
      <c r="R191" s="725"/>
      <c r="S191" s="725"/>
      <c r="T191" s="725"/>
      <c r="U191" s="725"/>
      <c r="V191" s="725"/>
      <c r="W191" s="725"/>
      <c r="X191" s="516"/>
      <c r="Z191" s="263" t="s">
        <v>209</v>
      </c>
      <c r="AH191" s="530"/>
    </row>
    <row r="192" spans="1:34" ht="12.75" customHeight="1">
      <c r="A192" s="739"/>
      <c r="B192" s="732"/>
      <c r="C192" s="733"/>
      <c r="D192" s="733"/>
      <c r="E192" s="733"/>
      <c r="F192" s="733"/>
      <c r="G192" s="733"/>
      <c r="H192" s="734"/>
      <c r="I192" s="724"/>
      <c r="J192" s="724"/>
      <c r="K192" s="724"/>
      <c r="L192" s="724"/>
      <c r="M192" s="724"/>
      <c r="N192" s="725"/>
      <c r="O192" s="725"/>
      <c r="P192" s="725"/>
      <c r="Q192" s="725"/>
      <c r="R192" s="725"/>
      <c r="S192" s="725"/>
      <c r="T192" s="725"/>
      <c r="U192" s="725"/>
      <c r="V192" s="725"/>
      <c r="W192" s="725"/>
      <c r="X192" s="516"/>
      <c r="Y192" s="279">
        <f>MAX(N191:W192)</f>
        <v>0</v>
      </c>
      <c r="Z192" s="265">
        <v>30</v>
      </c>
      <c r="AH192" s="530"/>
    </row>
    <row r="193" spans="1:34" ht="14.25">
      <c r="A193" s="757" t="s">
        <v>204</v>
      </c>
      <c r="B193" s="760" t="s">
        <v>205</v>
      </c>
      <c r="C193" s="761"/>
      <c r="D193" s="761"/>
      <c r="E193" s="761"/>
      <c r="F193" s="766" t="s">
        <v>206</v>
      </c>
      <c r="G193" s="767"/>
      <c r="H193" s="767"/>
      <c r="I193" s="767"/>
      <c r="J193" s="767"/>
      <c r="K193" s="767"/>
      <c r="L193" s="767"/>
      <c r="M193" s="767"/>
      <c r="N193" s="767"/>
      <c r="O193" s="767"/>
      <c r="P193" s="767"/>
      <c r="Q193" s="767"/>
      <c r="R193" s="767"/>
      <c r="S193" s="767"/>
      <c r="T193" s="767"/>
      <c r="U193" s="767"/>
      <c r="V193" s="767"/>
      <c r="W193" s="768"/>
      <c r="X193" s="516"/>
      <c r="Y193" s="13"/>
      <c r="AA193" s="13"/>
      <c r="AC193" s="13"/>
      <c r="AE193" s="328"/>
      <c r="AH193" s="530"/>
    </row>
    <row r="194" spans="1:34" ht="14.25" customHeight="1">
      <c r="A194" s="758"/>
      <c r="B194" s="762"/>
      <c r="C194" s="763"/>
      <c r="D194" s="763"/>
      <c r="E194" s="763"/>
      <c r="F194" s="769" t="s">
        <v>211</v>
      </c>
      <c r="G194" s="770"/>
      <c r="H194" s="770"/>
      <c r="I194" s="770"/>
      <c r="J194" s="770"/>
      <c r="K194" s="770"/>
      <c r="L194" s="770"/>
      <c r="M194" s="770"/>
      <c r="N194" s="770"/>
      <c r="O194" s="770"/>
      <c r="P194" s="770"/>
      <c r="Q194" s="770"/>
      <c r="R194" s="770"/>
      <c r="S194" s="770"/>
      <c r="T194" s="770"/>
      <c r="U194" s="770"/>
      <c r="V194" s="770"/>
      <c r="W194" s="771"/>
      <c r="X194" s="516"/>
      <c r="Y194" s="13"/>
      <c r="Z194" s="13"/>
      <c r="AA194" s="13"/>
      <c r="AB194" s="13"/>
      <c r="AC194" s="13"/>
      <c r="AD194" s="13"/>
      <c r="AE194" s="328"/>
      <c r="AH194" s="530"/>
    </row>
    <row r="195" spans="1:34" ht="14.25" customHeight="1">
      <c r="A195" s="759"/>
      <c r="B195" s="762"/>
      <c r="C195" s="763"/>
      <c r="D195" s="763"/>
      <c r="E195" s="763"/>
      <c r="F195" s="821">
        <v>0</v>
      </c>
      <c r="G195" s="822"/>
      <c r="H195" s="823"/>
      <c r="I195" s="818">
        <v>10</v>
      </c>
      <c r="J195" s="819"/>
      <c r="K195" s="820"/>
      <c r="L195" s="818" t="s">
        <v>213</v>
      </c>
      <c r="M195" s="819"/>
      <c r="N195" s="819"/>
      <c r="O195" s="820"/>
      <c r="P195" s="818" t="s">
        <v>539</v>
      </c>
      <c r="Q195" s="819"/>
      <c r="R195" s="819"/>
      <c r="S195" s="820"/>
      <c r="T195" s="818" t="s">
        <v>308</v>
      </c>
      <c r="U195" s="819"/>
      <c r="V195" s="819"/>
      <c r="W195" s="820"/>
      <c r="X195" s="516"/>
      <c r="Y195" s="13"/>
      <c r="Z195" s="13"/>
      <c r="AA195" s="13"/>
      <c r="AB195" s="13"/>
      <c r="AC195" s="13"/>
      <c r="AD195" s="13"/>
      <c r="AE195" s="328"/>
      <c r="AH195" s="530"/>
    </row>
    <row r="196" spans="1:34" ht="12.75" customHeight="1">
      <c r="A196" s="737" t="s">
        <v>546</v>
      </c>
      <c r="B196" s="718" t="s">
        <v>577</v>
      </c>
      <c r="C196" s="719"/>
      <c r="D196" s="719"/>
      <c r="E196" s="720"/>
      <c r="F196" s="726" t="s">
        <v>212</v>
      </c>
      <c r="G196" s="803"/>
      <c r="H196" s="804"/>
      <c r="I196" s="726" t="s">
        <v>538</v>
      </c>
      <c r="J196" s="727"/>
      <c r="K196" s="728"/>
      <c r="L196" s="726" t="s">
        <v>537</v>
      </c>
      <c r="M196" s="727"/>
      <c r="N196" s="727"/>
      <c r="O196" s="728"/>
      <c r="P196" s="726" t="s">
        <v>305</v>
      </c>
      <c r="Q196" s="727"/>
      <c r="R196" s="727"/>
      <c r="S196" s="728"/>
      <c r="T196" s="726" t="s">
        <v>363</v>
      </c>
      <c r="U196" s="727"/>
      <c r="V196" s="727"/>
      <c r="W196" s="728"/>
      <c r="X196" s="516"/>
      <c r="Y196" s="13"/>
      <c r="AA196" s="13"/>
      <c r="AB196" s="13"/>
      <c r="AC196" s="13"/>
      <c r="AH196" s="530"/>
    </row>
    <row r="197" spans="1:34" ht="12.75" customHeight="1">
      <c r="A197" s="738"/>
      <c r="B197" s="721"/>
      <c r="C197" s="722"/>
      <c r="D197" s="722"/>
      <c r="E197" s="723"/>
      <c r="F197" s="805"/>
      <c r="G197" s="798"/>
      <c r="H197" s="799"/>
      <c r="I197" s="729"/>
      <c r="J197" s="730"/>
      <c r="K197" s="731"/>
      <c r="L197" s="729"/>
      <c r="M197" s="730"/>
      <c r="N197" s="730"/>
      <c r="O197" s="731"/>
      <c r="P197" s="729"/>
      <c r="Q197" s="730"/>
      <c r="R197" s="730"/>
      <c r="S197" s="731"/>
      <c r="T197" s="729"/>
      <c r="U197" s="730"/>
      <c r="V197" s="730"/>
      <c r="W197" s="731"/>
      <c r="X197" s="516"/>
      <c r="Y197" s="13"/>
      <c r="AA197" s="13"/>
      <c r="AB197" s="13"/>
      <c r="AC197" s="13"/>
      <c r="AH197" s="530"/>
    </row>
    <row r="198" spans="1:34" ht="12.75">
      <c r="A198" s="738"/>
      <c r="B198" s="721"/>
      <c r="C198" s="722"/>
      <c r="D198" s="722"/>
      <c r="E198" s="723"/>
      <c r="F198" s="805"/>
      <c r="G198" s="798"/>
      <c r="H198" s="799"/>
      <c r="I198" s="729"/>
      <c r="J198" s="730"/>
      <c r="K198" s="731"/>
      <c r="L198" s="729"/>
      <c r="M198" s="730"/>
      <c r="N198" s="730"/>
      <c r="O198" s="731"/>
      <c r="P198" s="729"/>
      <c r="Q198" s="730"/>
      <c r="R198" s="730"/>
      <c r="S198" s="731"/>
      <c r="T198" s="729"/>
      <c r="U198" s="730"/>
      <c r="V198" s="730"/>
      <c r="W198" s="731"/>
      <c r="X198" s="516"/>
      <c r="Y198" s="13"/>
      <c r="AA198" s="13"/>
      <c r="AB198" s="13"/>
      <c r="AC198" s="13"/>
      <c r="AH198" s="530"/>
    </row>
    <row r="199" spans="1:34" ht="12.75" customHeight="1">
      <c r="A199" s="738"/>
      <c r="B199" s="721"/>
      <c r="C199" s="722"/>
      <c r="D199" s="722"/>
      <c r="E199" s="723"/>
      <c r="F199" s="797"/>
      <c r="G199" s="798"/>
      <c r="H199" s="799"/>
      <c r="I199" s="815" t="s">
        <v>540</v>
      </c>
      <c r="J199" s="816"/>
      <c r="K199" s="817"/>
      <c r="L199" s="815" t="s">
        <v>541</v>
      </c>
      <c r="M199" s="816"/>
      <c r="N199" s="816"/>
      <c r="O199" s="817"/>
      <c r="P199" s="815" t="s">
        <v>542</v>
      </c>
      <c r="Q199" s="816"/>
      <c r="R199" s="816"/>
      <c r="S199" s="817"/>
      <c r="T199" s="815" t="s">
        <v>543</v>
      </c>
      <c r="U199" s="816"/>
      <c r="V199" s="816"/>
      <c r="W199" s="817"/>
      <c r="X199" s="516"/>
      <c r="Y199" s="13"/>
      <c r="AH199" s="530"/>
    </row>
    <row r="200" spans="1:34" ht="12.75">
      <c r="A200" s="738"/>
      <c r="B200" s="721"/>
      <c r="C200" s="722"/>
      <c r="D200" s="722"/>
      <c r="E200" s="723"/>
      <c r="F200" s="797"/>
      <c r="G200" s="798"/>
      <c r="H200" s="799"/>
      <c r="I200" s="815"/>
      <c r="J200" s="816"/>
      <c r="K200" s="817"/>
      <c r="L200" s="815"/>
      <c r="M200" s="816"/>
      <c r="N200" s="816"/>
      <c r="O200" s="817"/>
      <c r="P200" s="815"/>
      <c r="Q200" s="816"/>
      <c r="R200" s="816"/>
      <c r="S200" s="817"/>
      <c r="T200" s="815"/>
      <c r="U200" s="816"/>
      <c r="V200" s="816"/>
      <c r="W200" s="817"/>
      <c r="X200" s="516"/>
      <c r="Y200" s="13"/>
      <c r="AH200" s="530"/>
    </row>
    <row r="201" spans="1:34" ht="24" customHeight="1">
      <c r="A201" s="738"/>
      <c r="B201" s="791" t="s">
        <v>578</v>
      </c>
      <c r="C201" s="792"/>
      <c r="D201" s="792"/>
      <c r="E201" s="793"/>
      <c r="F201" s="797"/>
      <c r="G201" s="798"/>
      <c r="H201" s="799"/>
      <c r="I201" s="815"/>
      <c r="J201" s="816"/>
      <c r="K201" s="817"/>
      <c r="L201" s="815"/>
      <c r="M201" s="816"/>
      <c r="N201" s="816"/>
      <c r="O201" s="817"/>
      <c r="P201" s="815"/>
      <c r="Q201" s="816"/>
      <c r="R201" s="816"/>
      <c r="S201" s="817"/>
      <c r="T201" s="815"/>
      <c r="U201" s="816"/>
      <c r="V201" s="816"/>
      <c r="W201" s="817"/>
      <c r="X201" s="516"/>
      <c r="Y201" s="13"/>
      <c r="AH201" s="530"/>
    </row>
    <row r="202" spans="1:34" ht="102" customHeight="1">
      <c r="A202" s="738"/>
      <c r="B202" s="791"/>
      <c r="C202" s="792"/>
      <c r="D202" s="792"/>
      <c r="E202" s="793"/>
      <c r="F202" s="800"/>
      <c r="G202" s="801"/>
      <c r="H202" s="802"/>
      <c r="I202" s="812"/>
      <c r="J202" s="813"/>
      <c r="K202" s="814"/>
      <c r="L202" s="812" t="s">
        <v>544</v>
      </c>
      <c r="M202" s="813"/>
      <c r="N202" s="813"/>
      <c r="O202" s="814"/>
      <c r="P202" s="812" t="s">
        <v>545</v>
      </c>
      <c r="Q202" s="813"/>
      <c r="R202" s="813"/>
      <c r="S202" s="814"/>
      <c r="T202" s="812" t="s">
        <v>545</v>
      </c>
      <c r="U202" s="813"/>
      <c r="V202" s="813"/>
      <c r="W202" s="814"/>
      <c r="X202" s="516"/>
      <c r="Y202" s="13"/>
      <c r="AH202" s="530"/>
    </row>
    <row r="203" spans="1:34" ht="12.75" customHeight="1">
      <c r="A203" s="738"/>
      <c r="B203" s="791"/>
      <c r="C203" s="792"/>
      <c r="D203" s="792"/>
      <c r="E203" s="793"/>
      <c r="F203" s="782">
        <f>IF(Y204=0,IF(FIO="","",0),"")</f>
      </c>
      <c r="G203" s="803"/>
      <c r="H203" s="804"/>
      <c r="I203" s="806"/>
      <c r="J203" s="807"/>
      <c r="K203" s="808"/>
      <c r="L203" s="725"/>
      <c r="M203" s="725"/>
      <c r="N203" s="725"/>
      <c r="O203" s="725"/>
      <c r="P203" s="725"/>
      <c r="Q203" s="725"/>
      <c r="R203" s="725"/>
      <c r="S203" s="725"/>
      <c r="T203" s="725"/>
      <c r="U203" s="725"/>
      <c r="V203" s="725"/>
      <c r="W203" s="725"/>
      <c r="X203" s="516"/>
      <c r="Z203" s="263" t="s">
        <v>209</v>
      </c>
      <c r="AA203" s="264" t="s">
        <v>281</v>
      </c>
      <c r="AE203" s="569" t="s">
        <v>3</v>
      </c>
      <c r="AF203" s="570" t="s">
        <v>2</v>
      </c>
      <c r="AH203" s="530"/>
    </row>
    <row r="204" spans="1:34" ht="16.5" customHeight="1">
      <c r="A204" s="739"/>
      <c r="B204" s="794"/>
      <c r="C204" s="795"/>
      <c r="D204" s="795"/>
      <c r="E204" s="796"/>
      <c r="F204" s="800"/>
      <c r="G204" s="801"/>
      <c r="H204" s="802"/>
      <c r="I204" s="809"/>
      <c r="J204" s="810"/>
      <c r="K204" s="811"/>
      <c r="L204" s="725"/>
      <c r="M204" s="725"/>
      <c r="N204" s="725"/>
      <c r="O204" s="725"/>
      <c r="P204" s="725"/>
      <c r="Q204" s="725"/>
      <c r="R204" s="725"/>
      <c r="S204" s="725"/>
      <c r="T204" s="725"/>
      <c r="U204" s="725"/>
      <c r="V204" s="725"/>
      <c r="W204" s="725"/>
      <c r="X204" s="516"/>
      <c r="Y204" s="279">
        <f>SUM(I203:W204)</f>
        <v>0</v>
      </c>
      <c r="Z204" s="265">
        <v>130</v>
      </c>
      <c r="AA204" s="282">
        <f>IF(z_kateg="высшая",AE204,AF204)</f>
        <v>10</v>
      </c>
      <c r="AE204" s="571">
        <v>30</v>
      </c>
      <c r="AF204" s="572">
        <v>10</v>
      </c>
      <c r="AH204" s="530"/>
    </row>
    <row r="205" spans="1:45" ht="13.5">
      <c r="A205" s="367"/>
      <c r="B205" s="285"/>
      <c r="C205" s="285"/>
      <c r="D205" s="285"/>
      <c r="E205" s="284"/>
      <c r="F205" s="284"/>
      <c r="G205" s="284"/>
      <c r="H205" s="284"/>
      <c r="I205" s="284"/>
      <c r="J205" s="284"/>
      <c r="K205" s="284"/>
      <c r="T205" s="284"/>
      <c r="U205" s="284"/>
      <c r="V205" s="284"/>
      <c r="W205" s="284"/>
      <c r="X205" s="516"/>
      <c r="AH205" s="530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ht="6" customHeight="1">
      <c r="A206" s="1017" t="s">
        <v>210</v>
      </c>
      <c r="B206" s="756" t="s">
        <v>547</v>
      </c>
      <c r="C206" s="756"/>
      <c r="D206" s="756"/>
      <c r="E206" s="756"/>
      <c r="F206" s="756"/>
      <c r="G206" s="756"/>
      <c r="H206" s="756"/>
      <c r="I206" s="756"/>
      <c r="J206" s="756"/>
      <c r="K206" s="756"/>
      <c r="L206" s="756"/>
      <c r="M206" s="756"/>
      <c r="N206" s="756"/>
      <c r="O206" s="756"/>
      <c r="P206" s="756"/>
      <c r="Q206" s="756"/>
      <c r="R206" s="756"/>
      <c r="S206" s="756"/>
      <c r="T206" s="756"/>
      <c r="U206" s="756"/>
      <c r="V206" s="756"/>
      <c r="W206" s="756"/>
      <c r="X206" s="516"/>
      <c r="AD206" s="201"/>
      <c r="AG206" s="13"/>
      <c r="AH206" s="530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ht="12.75" customHeight="1">
      <c r="A207" s="1018"/>
      <c r="B207" s="756"/>
      <c r="C207" s="756"/>
      <c r="D207" s="756"/>
      <c r="E207" s="756"/>
      <c r="F207" s="756"/>
      <c r="G207" s="756"/>
      <c r="H207" s="756"/>
      <c r="I207" s="756"/>
      <c r="J207" s="756"/>
      <c r="K207" s="756"/>
      <c r="L207" s="756"/>
      <c r="M207" s="756"/>
      <c r="N207" s="756"/>
      <c r="O207" s="756"/>
      <c r="P207" s="756"/>
      <c r="Q207" s="756"/>
      <c r="R207" s="756"/>
      <c r="S207" s="756"/>
      <c r="T207" s="756"/>
      <c r="U207" s="756"/>
      <c r="V207" s="756"/>
      <c r="W207" s="756"/>
      <c r="X207" s="516"/>
      <c r="AD207" s="201"/>
      <c r="AG207" s="13"/>
      <c r="AH207" s="530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ht="12.75">
      <c r="A208" s="1018"/>
      <c r="B208" s="756"/>
      <c r="C208" s="756"/>
      <c r="D208" s="756"/>
      <c r="E208" s="756"/>
      <c r="F208" s="756"/>
      <c r="G208" s="756"/>
      <c r="H208" s="756"/>
      <c r="I208" s="756"/>
      <c r="J208" s="756"/>
      <c r="K208" s="756"/>
      <c r="L208" s="756"/>
      <c r="M208" s="756"/>
      <c r="N208" s="756"/>
      <c r="O208" s="756"/>
      <c r="P208" s="756"/>
      <c r="Q208" s="756"/>
      <c r="R208" s="756"/>
      <c r="S208" s="756"/>
      <c r="T208" s="756"/>
      <c r="U208" s="756"/>
      <c r="V208" s="756"/>
      <c r="W208" s="756"/>
      <c r="X208" s="516"/>
      <c r="AD208" s="201"/>
      <c r="AG208" s="13"/>
      <c r="AH208" s="530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ht="12.75" customHeight="1">
      <c r="A209" s="1018"/>
      <c r="B209" s="756"/>
      <c r="C209" s="756"/>
      <c r="D209" s="756"/>
      <c r="E209" s="756"/>
      <c r="F209" s="756"/>
      <c r="G209" s="756"/>
      <c r="H209" s="756"/>
      <c r="I209" s="756"/>
      <c r="J209" s="756"/>
      <c r="K209" s="756"/>
      <c r="L209" s="756"/>
      <c r="M209" s="756"/>
      <c r="N209" s="756"/>
      <c r="O209" s="756"/>
      <c r="P209" s="756"/>
      <c r="Q209" s="756"/>
      <c r="R209" s="756"/>
      <c r="S209" s="756"/>
      <c r="T209" s="756"/>
      <c r="U209" s="756"/>
      <c r="V209" s="756"/>
      <c r="W209" s="756"/>
      <c r="X209" s="516"/>
      <c r="AD209" s="201"/>
      <c r="AG209" s="13"/>
      <c r="AH209" s="530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ht="13.5" customHeight="1">
      <c r="A210" s="1018"/>
      <c r="B210" s="756"/>
      <c r="C210" s="756"/>
      <c r="D210" s="756"/>
      <c r="E210" s="756"/>
      <c r="F210" s="756"/>
      <c r="G210" s="756"/>
      <c r="H210" s="756"/>
      <c r="I210" s="756"/>
      <c r="J210" s="756"/>
      <c r="K210" s="756"/>
      <c r="L210" s="756"/>
      <c r="M210" s="756"/>
      <c r="N210" s="756"/>
      <c r="O210" s="756"/>
      <c r="P210" s="756"/>
      <c r="Q210" s="756"/>
      <c r="R210" s="756"/>
      <c r="S210" s="756"/>
      <c r="T210" s="756"/>
      <c r="U210" s="756"/>
      <c r="V210" s="756"/>
      <c r="W210" s="756"/>
      <c r="X210" s="516"/>
      <c r="AD210" s="201"/>
      <c r="AG210" s="13"/>
      <c r="AH210" s="530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ht="13.5" customHeight="1" hidden="1">
      <c r="A211" s="1018"/>
      <c r="B211" s="756"/>
      <c r="C211" s="756"/>
      <c r="D211" s="756"/>
      <c r="E211" s="756"/>
      <c r="F211" s="756"/>
      <c r="G211" s="756"/>
      <c r="H211" s="756"/>
      <c r="I211" s="756"/>
      <c r="J211" s="756"/>
      <c r="K211" s="756"/>
      <c r="L211" s="756"/>
      <c r="M211" s="756"/>
      <c r="N211" s="756"/>
      <c r="O211" s="756"/>
      <c r="P211" s="756"/>
      <c r="Q211" s="756"/>
      <c r="R211" s="756"/>
      <c r="S211" s="756"/>
      <c r="T211" s="756"/>
      <c r="U211" s="756"/>
      <c r="V211" s="756"/>
      <c r="W211" s="756"/>
      <c r="X211" s="516"/>
      <c r="AD211" s="201"/>
      <c r="AG211" s="13"/>
      <c r="AH211" s="530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ht="13.5" customHeight="1" hidden="1">
      <c r="A212" s="1018"/>
      <c r="B212" s="756"/>
      <c r="C212" s="756"/>
      <c r="D212" s="756"/>
      <c r="E212" s="756"/>
      <c r="F212" s="756"/>
      <c r="G212" s="756"/>
      <c r="H212" s="756"/>
      <c r="I212" s="756"/>
      <c r="J212" s="756"/>
      <c r="K212" s="756"/>
      <c r="L212" s="756"/>
      <c r="M212" s="756"/>
      <c r="N212" s="756"/>
      <c r="O212" s="756"/>
      <c r="P212" s="756"/>
      <c r="Q212" s="756"/>
      <c r="R212" s="756"/>
      <c r="S212" s="756"/>
      <c r="T212" s="756"/>
      <c r="U212" s="756"/>
      <c r="V212" s="756"/>
      <c r="W212" s="756"/>
      <c r="X212" s="516"/>
      <c r="AD212" s="201"/>
      <c r="AG212" s="13"/>
      <c r="AH212" s="530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ht="9.75" customHeight="1">
      <c r="A213" s="1018"/>
      <c r="B213" s="756"/>
      <c r="C213" s="756"/>
      <c r="D213" s="756"/>
      <c r="E213" s="756"/>
      <c r="F213" s="756"/>
      <c r="G213" s="756"/>
      <c r="H213" s="756"/>
      <c r="I213" s="756"/>
      <c r="J213" s="756"/>
      <c r="K213" s="756"/>
      <c r="L213" s="756"/>
      <c r="M213" s="756"/>
      <c r="N213" s="756"/>
      <c r="O213" s="756"/>
      <c r="P213" s="756"/>
      <c r="Q213" s="756"/>
      <c r="R213" s="756"/>
      <c r="S213" s="756"/>
      <c r="T213" s="756"/>
      <c r="U213" s="756"/>
      <c r="V213" s="756"/>
      <c r="W213" s="756"/>
      <c r="X213" s="516"/>
      <c r="AD213" s="201"/>
      <c r="AG213" s="13"/>
      <c r="AH213" s="530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ht="14.25" customHeight="1">
      <c r="A214" s="1018"/>
      <c r="B214" s="736" t="s">
        <v>548</v>
      </c>
      <c r="C214" s="736"/>
      <c r="D214" s="736"/>
      <c r="E214" s="736"/>
      <c r="F214" s="736"/>
      <c r="G214" s="736"/>
      <c r="H214" s="736"/>
      <c r="I214" s="736"/>
      <c r="J214" s="736"/>
      <c r="K214" s="736"/>
      <c r="L214" s="736"/>
      <c r="M214" s="736"/>
      <c r="N214" s="736"/>
      <c r="O214" s="736"/>
      <c r="P214" s="736"/>
      <c r="Q214" s="736"/>
      <c r="R214" s="736"/>
      <c r="S214" s="736"/>
      <c r="T214" s="736"/>
      <c r="U214" s="736"/>
      <c r="V214" s="736"/>
      <c r="W214" s="736"/>
      <c r="X214" s="516"/>
      <c r="AD214" s="201"/>
      <c r="AG214" s="13"/>
      <c r="AH214" s="530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ht="14.25" customHeight="1">
      <c r="A215" s="1018"/>
      <c r="B215" s="736"/>
      <c r="C215" s="736"/>
      <c r="D215" s="736"/>
      <c r="E215" s="736"/>
      <c r="F215" s="736"/>
      <c r="G215" s="736"/>
      <c r="H215" s="736"/>
      <c r="I215" s="736"/>
      <c r="J215" s="736"/>
      <c r="K215" s="736"/>
      <c r="L215" s="736"/>
      <c r="M215" s="736"/>
      <c r="N215" s="736"/>
      <c r="O215" s="736"/>
      <c r="P215" s="736"/>
      <c r="Q215" s="736"/>
      <c r="R215" s="736"/>
      <c r="S215" s="736"/>
      <c r="T215" s="736"/>
      <c r="U215" s="736"/>
      <c r="V215" s="736"/>
      <c r="W215" s="736"/>
      <c r="X215" s="516"/>
      <c r="AD215" s="201"/>
      <c r="AG215" s="13"/>
      <c r="AH215" s="530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ht="14.25" customHeight="1">
      <c r="A216" s="1018"/>
      <c r="B216" s="736"/>
      <c r="C216" s="736"/>
      <c r="D216" s="736"/>
      <c r="E216" s="736"/>
      <c r="F216" s="736"/>
      <c r="G216" s="736"/>
      <c r="H216" s="736"/>
      <c r="I216" s="736"/>
      <c r="J216" s="736"/>
      <c r="K216" s="736"/>
      <c r="L216" s="736"/>
      <c r="M216" s="736"/>
      <c r="N216" s="736"/>
      <c r="O216" s="736"/>
      <c r="P216" s="736"/>
      <c r="Q216" s="736"/>
      <c r="R216" s="736"/>
      <c r="S216" s="736"/>
      <c r="T216" s="736"/>
      <c r="U216" s="736"/>
      <c r="V216" s="736"/>
      <c r="W216" s="736"/>
      <c r="X216" s="516"/>
      <c r="AD216" s="201"/>
      <c r="AG216" s="13"/>
      <c r="AH216" s="530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ht="6" customHeight="1">
      <c r="A217" s="29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516"/>
      <c r="AD217" s="201"/>
      <c r="AG217" s="13"/>
      <c r="AH217" s="530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34" ht="15" customHeight="1">
      <c r="A218" s="262" t="s">
        <v>192</v>
      </c>
      <c r="B218" s="772" t="s">
        <v>217</v>
      </c>
      <c r="C218" s="772"/>
      <c r="D218" s="772"/>
      <c r="E218" s="772"/>
      <c r="F218" s="772"/>
      <c r="G218" s="772"/>
      <c r="H218" s="772"/>
      <c r="I218" s="772"/>
      <c r="J218" s="772"/>
      <c r="K218" s="772"/>
      <c r="L218" s="772"/>
      <c r="M218" s="772"/>
      <c r="N218" s="772"/>
      <c r="O218" s="772"/>
      <c r="P218" s="772"/>
      <c r="Q218" s="772"/>
      <c r="R218" s="772"/>
      <c r="S218" s="772"/>
      <c r="T218" s="772"/>
      <c r="U218" s="772"/>
      <c r="V218" s="772"/>
      <c r="W218" s="772"/>
      <c r="X218" s="516"/>
      <c r="Y218" s="302" t="str">
        <f>A218</f>
        <v>3.</v>
      </c>
      <c r="Z218" s="301"/>
      <c r="AA218" s="263" t="s">
        <v>282</v>
      </c>
      <c r="AB218" s="263" t="s">
        <v>209</v>
      </c>
      <c r="AC218" s="263" t="s">
        <v>281</v>
      </c>
      <c r="AE218" s="560" t="s">
        <v>283</v>
      </c>
      <c r="AG218" s="300"/>
      <c r="AH218" s="530"/>
    </row>
    <row r="219" spans="2:34" ht="15" customHeight="1">
      <c r="B219" s="772"/>
      <c r="C219" s="772"/>
      <c r="D219" s="772"/>
      <c r="E219" s="772"/>
      <c r="F219" s="772"/>
      <c r="G219" s="772"/>
      <c r="H219" s="772"/>
      <c r="I219" s="772"/>
      <c r="J219" s="772"/>
      <c r="K219" s="772"/>
      <c r="L219" s="772"/>
      <c r="M219" s="772"/>
      <c r="N219" s="772"/>
      <c r="O219" s="772"/>
      <c r="P219" s="772"/>
      <c r="Q219" s="772"/>
      <c r="R219" s="772"/>
      <c r="S219" s="772"/>
      <c r="T219" s="772"/>
      <c r="U219" s="772"/>
      <c r="V219" s="772"/>
      <c r="W219" s="772"/>
      <c r="X219" s="516"/>
      <c r="Z219" s="283" t="s">
        <v>291</v>
      </c>
      <c r="AA219" s="280">
        <f>SUM(Y220:Y399)</f>
        <v>0</v>
      </c>
      <c r="AB219" s="265">
        <f>SUM(Z220:Z399)</f>
        <v>950</v>
      </c>
      <c r="AC219" s="282">
        <f>SUM(AA220:AA399)</f>
        <v>130</v>
      </c>
      <c r="AD219" s="297"/>
      <c r="AE219" s="560" t="b">
        <f>итого_2&gt;=AC219</f>
        <v>0</v>
      </c>
      <c r="AH219" s="530"/>
    </row>
    <row r="220" spans="1:64" ht="13.5" customHeight="1">
      <c r="A220" s="849" t="s">
        <v>202</v>
      </c>
      <c r="B220" s="849"/>
      <c r="C220" s="849"/>
      <c r="D220" s="849"/>
      <c r="E220" s="849"/>
      <c r="F220" s="849"/>
      <c r="G220" s="849"/>
      <c r="H220" s="849"/>
      <c r="I220" s="849"/>
      <c r="J220" s="849"/>
      <c r="K220" s="849"/>
      <c r="L220" s="849"/>
      <c r="M220" s="849"/>
      <c r="N220" s="849"/>
      <c r="O220" s="849"/>
      <c r="P220" s="849"/>
      <c r="Q220" s="849"/>
      <c r="R220" s="849"/>
      <c r="S220" s="849"/>
      <c r="T220" s="849"/>
      <c r="U220" s="849"/>
      <c r="V220" s="849"/>
      <c r="W220" s="849"/>
      <c r="X220" s="516"/>
      <c r="Y220" s="220"/>
      <c r="AB220" s="220"/>
      <c r="AC220" s="220"/>
      <c r="AD220" s="220"/>
      <c r="AF220" s="574"/>
      <c r="AG220" s="220"/>
      <c r="AH220" s="53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  <c r="BI220" s="220"/>
      <c r="BJ220" s="220"/>
      <c r="BK220" s="220"/>
      <c r="BL220" s="220"/>
    </row>
    <row r="221" spans="1:64" ht="12.75" customHeight="1">
      <c r="A221" s="1019" t="s">
        <v>203</v>
      </c>
      <c r="B221" s="751" t="s">
        <v>218</v>
      </c>
      <c r="C221" s="751"/>
      <c r="D221" s="751"/>
      <c r="E221" s="751"/>
      <c r="F221" s="751"/>
      <c r="G221" s="751"/>
      <c r="H221" s="751"/>
      <c r="I221" s="751"/>
      <c r="J221" s="751"/>
      <c r="K221" s="751"/>
      <c r="L221" s="751"/>
      <c r="M221" s="751"/>
      <c r="N221" s="751"/>
      <c r="O221" s="751"/>
      <c r="P221" s="751"/>
      <c r="Q221" s="751"/>
      <c r="R221" s="751"/>
      <c r="S221" s="751"/>
      <c r="T221" s="751"/>
      <c r="U221" s="751"/>
      <c r="V221" s="751"/>
      <c r="W221" s="751"/>
      <c r="X221" s="516"/>
      <c r="Y221" s="220"/>
      <c r="AB221" s="220"/>
      <c r="AC221" s="220"/>
      <c r="AD221" s="220"/>
      <c r="AE221" s="574"/>
      <c r="AF221" s="574"/>
      <c r="AG221" s="220"/>
      <c r="AH221" s="53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  <c r="BI221" s="220"/>
      <c r="BJ221" s="220"/>
      <c r="BK221" s="220"/>
      <c r="BL221" s="220"/>
    </row>
    <row r="222" spans="1:64" ht="12.75" customHeight="1">
      <c r="A222" s="1019"/>
      <c r="B222" s="751"/>
      <c r="C222" s="751"/>
      <c r="D222" s="751"/>
      <c r="E222" s="751"/>
      <c r="F222" s="751"/>
      <c r="G222" s="751"/>
      <c r="H222" s="751"/>
      <c r="I222" s="751"/>
      <c r="J222" s="751"/>
      <c r="K222" s="751"/>
      <c r="L222" s="751"/>
      <c r="M222" s="751"/>
      <c r="N222" s="751"/>
      <c r="O222" s="751"/>
      <c r="P222" s="751"/>
      <c r="Q222" s="751"/>
      <c r="R222" s="751"/>
      <c r="S222" s="751"/>
      <c r="T222" s="751"/>
      <c r="U222" s="751"/>
      <c r="V222" s="751"/>
      <c r="W222" s="751"/>
      <c r="X222" s="516"/>
      <c r="Y222" s="220"/>
      <c r="AB222" s="220"/>
      <c r="AC222" s="220"/>
      <c r="AD222" s="220"/>
      <c r="AE222" s="574"/>
      <c r="AF222" s="574"/>
      <c r="AG222" s="220"/>
      <c r="AH222" s="53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  <c r="BI222" s="220"/>
      <c r="BJ222" s="220"/>
      <c r="BK222" s="220"/>
      <c r="BL222" s="220"/>
    </row>
    <row r="223" spans="1:64" ht="12.75" customHeight="1">
      <c r="A223" s="1019"/>
      <c r="B223" s="751"/>
      <c r="C223" s="751"/>
      <c r="D223" s="751"/>
      <c r="E223" s="751"/>
      <c r="F223" s="751"/>
      <c r="G223" s="751"/>
      <c r="H223" s="751"/>
      <c r="I223" s="751"/>
      <c r="J223" s="751"/>
      <c r="K223" s="751"/>
      <c r="L223" s="751"/>
      <c r="M223" s="751"/>
      <c r="N223" s="751"/>
      <c r="O223" s="751"/>
      <c r="P223" s="751"/>
      <c r="Q223" s="751"/>
      <c r="R223" s="751"/>
      <c r="S223" s="751"/>
      <c r="T223" s="751"/>
      <c r="U223" s="751"/>
      <c r="V223" s="751"/>
      <c r="W223" s="751"/>
      <c r="X223" s="516"/>
      <c r="Y223" s="220"/>
      <c r="AB223" s="220"/>
      <c r="AC223" s="220"/>
      <c r="AD223" s="220"/>
      <c r="AE223" s="574"/>
      <c r="AF223" s="574"/>
      <c r="AG223" s="220"/>
      <c r="AH223" s="53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  <c r="BI223" s="220"/>
      <c r="BJ223" s="220"/>
      <c r="BK223" s="220"/>
      <c r="BL223" s="220"/>
    </row>
    <row r="224" spans="1:64" ht="11.25" customHeight="1">
      <c r="A224" s="1019"/>
      <c r="B224" s="751"/>
      <c r="C224" s="751"/>
      <c r="D224" s="751"/>
      <c r="E224" s="751"/>
      <c r="F224" s="751"/>
      <c r="G224" s="751"/>
      <c r="H224" s="751"/>
      <c r="I224" s="751"/>
      <c r="J224" s="751"/>
      <c r="K224" s="751"/>
      <c r="L224" s="751"/>
      <c r="M224" s="751"/>
      <c r="N224" s="751"/>
      <c r="O224" s="751"/>
      <c r="P224" s="751"/>
      <c r="Q224" s="751"/>
      <c r="R224" s="751"/>
      <c r="S224" s="751"/>
      <c r="T224" s="751"/>
      <c r="U224" s="751"/>
      <c r="V224" s="751"/>
      <c r="W224" s="751"/>
      <c r="X224" s="516"/>
      <c r="Y224" s="220"/>
      <c r="AB224" s="220"/>
      <c r="AC224" s="220"/>
      <c r="AD224" s="220"/>
      <c r="AE224" s="574"/>
      <c r="AF224" s="574"/>
      <c r="AG224" s="220"/>
      <c r="AH224" s="53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  <c r="BI224" s="220"/>
      <c r="BJ224" s="220"/>
      <c r="BK224" s="220"/>
      <c r="BL224" s="220"/>
    </row>
    <row r="225" spans="1:64" ht="9.75" customHeight="1">
      <c r="A225" s="1019"/>
      <c r="B225" s="751"/>
      <c r="C225" s="751"/>
      <c r="D225" s="751"/>
      <c r="E225" s="751"/>
      <c r="F225" s="751"/>
      <c r="G225" s="751"/>
      <c r="H225" s="751"/>
      <c r="I225" s="751"/>
      <c r="J225" s="751"/>
      <c r="K225" s="751"/>
      <c r="L225" s="751"/>
      <c r="M225" s="751"/>
      <c r="N225" s="751"/>
      <c r="O225" s="751"/>
      <c r="P225" s="751"/>
      <c r="Q225" s="751"/>
      <c r="R225" s="751"/>
      <c r="S225" s="751"/>
      <c r="T225" s="751"/>
      <c r="U225" s="751"/>
      <c r="V225" s="751"/>
      <c r="W225" s="751"/>
      <c r="X225" s="516"/>
      <c r="Y225" s="221"/>
      <c r="AB225" s="221"/>
      <c r="AC225" s="221"/>
      <c r="AD225" s="221"/>
      <c r="AE225" s="575"/>
      <c r="AF225" s="575"/>
      <c r="AG225" s="221"/>
      <c r="AH225" s="530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221"/>
      <c r="BD225" s="221"/>
      <c r="BE225" s="221"/>
      <c r="BF225" s="221"/>
      <c r="BG225" s="221"/>
      <c r="BH225" s="221"/>
      <c r="BI225" s="221"/>
      <c r="BJ225" s="221"/>
      <c r="BK225" s="221"/>
      <c r="BL225" s="221"/>
    </row>
    <row r="226" spans="1:64" ht="12.75" customHeight="1">
      <c r="A226" s="1019" t="s">
        <v>203</v>
      </c>
      <c r="B226" s="735" t="s">
        <v>219</v>
      </c>
      <c r="C226" s="735"/>
      <c r="D226" s="735"/>
      <c r="E226" s="735"/>
      <c r="F226" s="735"/>
      <c r="G226" s="735"/>
      <c r="H226" s="735"/>
      <c r="I226" s="735"/>
      <c r="J226" s="735"/>
      <c r="K226" s="735"/>
      <c r="L226" s="735"/>
      <c r="M226" s="735"/>
      <c r="N226" s="735"/>
      <c r="O226" s="735"/>
      <c r="P226" s="735"/>
      <c r="Q226" s="735"/>
      <c r="R226" s="735"/>
      <c r="S226" s="735"/>
      <c r="T226" s="735"/>
      <c r="U226" s="735"/>
      <c r="V226" s="735"/>
      <c r="W226" s="735"/>
      <c r="X226" s="516"/>
      <c r="Y226" s="221"/>
      <c r="Z226" s="221"/>
      <c r="AA226" s="221"/>
      <c r="AB226" s="221"/>
      <c r="AC226" s="221"/>
      <c r="AD226" s="221"/>
      <c r="AE226" s="575"/>
      <c r="AF226" s="575"/>
      <c r="AG226" s="221"/>
      <c r="AH226" s="530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  <c r="BB226" s="221"/>
      <c r="BC226" s="221"/>
      <c r="BD226" s="221"/>
      <c r="BE226" s="221"/>
      <c r="BF226" s="221"/>
      <c r="BG226" s="221"/>
      <c r="BH226" s="221"/>
      <c r="BI226" s="221"/>
      <c r="BJ226" s="221"/>
      <c r="BK226" s="221"/>
      <c r="BL226" s="221"/>
    </row>
    <row r="227" spans="1:64" ht="12.75" customHeight="1">
      <c r="A227" s="1019"/>
      <c r="B227" s="735"/>
      <c r="C227" s="735"/>
      <c r="D227" s="735"/>
      <c r="E227" s="735"/>
      <c r="F227" s="735"/>
      <c r="G227" s="735"/>
      <c r="H227" s="735"/>
      <c r="I227" s="735"/>
      <c r="J227" s="735"/>
      <c r="K227" s="735"/>
      <c r="L227" s="735"/>
      <c r="M227" s="735"/>
      <c r="N227" s="735"/>
      <c r="O227" s="735"/>
      <c r="P227" s="735"/>
      <c r="Q227" s="735"/>
      <c r="R227" s="735"/>
      <c r="S227" s="735"/>
      <c r="T227" s="735"/>
      <c r="U227" s="735"/>
      <c r="V227" s="735"/>
      <c r="W227" s="735"/>
      <c r="X227" s="516"/>
      <c r="Y227" s="221"/>
      <c r="Z227" s="221"/>
      <c r="AA227" s="221"/>
      <c r="AB227" s="221"/>
      <c r="AC227" s="221"/>
      <c r="AD227" s="221"/>
      <c r="AE227" s="575"/>
      <c r="AF227" s="575"/>
      <c r="AG227" s="221"/>
      <c r="AH227" s="530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  <c r="BB227" s="221"/>
      <c r="BC227" s="221"/>
      <c r="BD227" s="221"/>
      <c r="BE227" s="221"/>
      <c r="BF227" s="221"/>
      <c r="BG227" s="221"/>
      <c r="BH227" s="221"/>
      <c r="BI227" s="221"/>
      <c r="BJ227" s="221"/>
      <c r="BK227" s="221"/>
      <c r="BL227" s="221"/>
    </row>
    <row r="228" spans="1:64" ht="12.75" customHeight="1">
      <c r="A228" s="1019"/>
      <c r="B228" s="735"/>
      <c r="C228" s="735"/>
      <c r="D228" s="735"/>
      <c r="E228" s="735"/>
      <c r="F228" s="735"/>
      <c r="G228" s="735"/>
      <c r="H228" s="735"/>
      <c r="I228" s="735"/>
      <c r="J228" s="735"/>
      <c r="K228" s="735"/>
      <c r="L228" s="735"/>
      <c r="M228" s="735"/>
      <c r="N228" s="735"/>
      <c r="O228" s="735"/>
      <c r="P228" s="735"/>
      <c r="Q228" s="735"/>
      <c r="R228" s="735"/>
      <c r="S228" s="735"/>
      <c r="T228" s="735"/>
      <c r="U228" s="735"/>
      <c r="V228" s="735"/>
      <c r="W228" s="735"/>
      <c r="X228" s="516"/>
      <c r="Y228" s="221"/>
      <c r="Z228" s="221"/>
      <c r="AA228" s="221"/>
      <c r="AB228" s="221"/>
      <c r="AC228" s="221"/>
      <c r="AD228" s="221"/>
      <c r="AE228" s="575"/>
      <c r="AF228" s="575"/>
      <c r="AG228" s="221"/>
      <c r="AH228" s="530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  <c r="BB228" s="221"/>
      <c r="BC228" s="221"/>
      <c r="BD228" s="221"/>
      <c r="BE228" s="221"/>
      <c r="BF228" s="221"/>
      <c r="BG228" s="221"/>
      <c r="BH228" s="221"/>
      <c r="BI228" s="221"/>
      <c r="BJ228" s="221"/>
      <c r="BK228" s="221"/>
      <c r="BL228" s="221"/>
    </row>
    <row r="229" spans="1:64" ht="12.75" customHeight="1">
      <c r="A229" s="1019"/>
      <c r="B229" s="735"/>
      <c r="C229" s="735"/>
      <c r="D229" s="735"/>
      <c r="E229" s="735"/>
      <c r="F229" s="735"/>
      <c r="G229" s="735"/>
      <c r="H229" s="735"/>
      <c r="I229" s="735"/>
      <c r="J229" s="735"/>
      <c r="K229" s="735"/>
      <c r="L229" s="735"/>
      <c r="M229" s="735"/>
      <c r="N229" s="735"/>
      <c r="O229" s="735"/>
      <c r="P229" s="735"/>
      <c r="Q229" s="735"/>
      <c r="R229" s="735"/>
      <c r="S229" s="735"/>
      <c r="T229" s="735"/>
      <c r="U229" s="735"/>
      <c r="V229" s="735"/>
      <c r="W229" s="735"/>
      <c r="X229" s="516"/>
      <c r="Y229" s="221"/>
      <c r="Z229" s="221"/>
      <c r="AA229" s="221"/>
      <c r="AB229" s="221"/>
      <c r="AC229" s="221"/>
      <c r="AD229" s="221"/>
      <c r="AE229" s="575"/>
      <c r="AF229" s="575"/>
      <c r="AG229" s="221"/>
      <c r="AH229" s="530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  <c r="BB229" s="221"/>
      <c r="BC229" s="221"/>
      <c r="BD229" s="221"/>
      <c r="BE229" s="221"/>
      <c r="BF229" s="221"/>
      <c r="BG229" s="221"/>
      <c r="BH229" s="221"/>
      <c r="BI229" s="221"/>
      <c r="BJ229" s="221"/>
      <c r="BK229" s="221"/>
      <c r="BL229" s="221"/>
    </row>
    <row r="230" spans="1:64" ht="12.75" customHeight="1">
      <c r="A230" s="1019"/>
      <c r="B230" s="735"/>
      <c r="C230" s="735"/>
      <c r="D230" s="735"/>
      <c r="E230" s="735"/>
      <c r="F230" s="735"/>
      <c r="G230" s="735"/>
      <c r="H230" s="735"/>
      <c r="I230" s="735"/>
      <c r="J230" s="735"/>
      <c r="K230" s="735"/>
      <c r="L230" s="735"/>
      <c r="M230" s="735"/>
      <c r="N230" s="735"/>
      <c r="O230" s="735"/>
      <c r="P230" s="735"/>
      <c r="Q230" s="735"/>
      <c r="R230" s="735"/>
      <c r="S230" s="735"/>
      <c r="T230" s="735"/>
      <c r="U230" s="735"/>
      <c r="V230" s="735"/>
      <c r="W230" s="735"/>
      <c r="X230" s="516"/>
      <c r="Y230" s="221"/>
      <c r="Z230" s="221"/>
      <c r="AA230" s="221"/>
      <c r="AB230" s="221"/>
      <c r="AC230" s="221"/>
      <c r="AD230" s="221"/>
      <c r="AE230" s="575"/>
      <c r="AF230" s="575"/>
      <c r="AG230" s="221"/>
      <c r="AH230" s="530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  <c r="BB230" s="221"/>
      <c r="BC230" s="221"/>
      <c r="BD230" s="221"/>
      <c r="BE230" s="221"/>
      <c r="BF230" s="221"/>
      <c r="BG230" s="221"/>
      <c r="BH230" s="221"/>
      <c r="BI230" s="221"/>
      <c r="BJ230" s="221"/>
      <c r="BK230" s="221"/>
      <c r="BL230" s="221"/>
    </row>
    <row r="231" spans="1:34" ht="11.25" customHeight="1">
      <c r="A231" s="1019"/>
      <c r="B231" s="735"/>
      <c r="C231" s="735"/>
      <c r="D231" s="735"/>
      <c r="E231" s="735"/>
      <c r="F231" s="735"/>
      <c r="G231" s="735"/>
      <c r="H231" s="735"/>
      <c r="I231" s="735"/>
      <c r="J231" s="735"/>
      <c r="K231" s="735"/>
      <c r="L231" s="735"/>
      <c r="M231" s="735"/>
      <c r="N231" s="735"/>
      <c r="O231" s="735"/>
      <c r="P231" s="735"/>
      <c r="Q231" s="735"/>
      <c r="R231" s="735"/>
      <c r="S231" s="735"/>
      <c r="T231" s="735"/>
      <c r="U231" s="735"/>
      <c r="V231" s="735"/>
      <c r="W231" s="735"/>
      <c r="X231" s="516"/>
      <c r="AH231" s="530"/>
    </row>
    <row r="232" spans="1:256" ht="12.75">
      <c r="A232" s="1019"/>
      <c r="B232" s="735"/>
      <c r="C232" s="735"/>
      <c r="D232" s="735"/>
      <c r="E232" s="735"/>
      <c r="F232" s="735"/>
      <c r="G232" s="735"/>
      <c r="H232" s="735"/>
      <c r="I232" s="735"/>
      <c r="J232" s="735"/>
      <c r="K232" s="735"/>
      <c r="L232" s="735"/>
      <c r="M232" s="735"/>
      <c r="N232" s="735"/>
      <c r="O232" s="735"/>
      <c r="P232" s="735"/>
      <c r="Q232" s="735"/>
      <c r="R232" s="735"/>
      <c r="S232" s="735"/>
      <c r="T232" s="735"/>
      <c r="U232" s="735"/>
      <c r="V232" s="735"/>
      <c r="W232" s="735"/>
      <c r="X232" s="516"/>
      <c r="Y232" s="203"/>
      <c r="Z232" s="203"/>
      <c r="AA232" s="203"/>
      <c r="AB232" s="203"/>
      <c r="AC232" s="203"/>
      <c r="AD232" s="203"/>
      <c r="AE232" s="557"/>
      <c r="AF232" s="557"/>
      <c r="AG232" s="203"/>
      <c r="AH232" s="530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G232" s="203"/>
      <c r="BH232" s="203"/>
      <c r="BI232" s="203"/>
      <c r="BJ232" s="203"/>
      <c r="BK232" s="203"/>
      <c r="BL232" s="203"/>
      <c r="BM232" s="208"/>
      <c r="BN232" s="160"/>
      <c r="BO232" s="204"/>
      <c r="BP232" s="169"/>
      <c r="BQ232" s="169"/>
      <c r="BR232" s="205"/>
      <c r="BS232" s="169"/>
      <c r="BT232" s="169"/>
      <c r="BU232" s="169"/>
      <c r="BV232" s="169"/>
      <c r="BW232" s="169"/>
      <c r="BX232" s="169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203"/>
      <c r="CY232" s="203"/>
      <c r="CZ232" s="203"/>
      <c r="DA232" s="203"/>
      <c r="DB232" s="203"/>
      <c r="DC232" s="203"/>
      <c r="DD232" s="203"/>
      <c r="DE232" s="203"/>
      <c r="DG232" s="203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203"/>
      <c r="EI232" s="203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  <c r="EY232" s="203"/>
      <c r="EZ232" s="203"/>
      <c r="FA232" s="203"/>
      <c r="FB232" s="203"/>
      <c r="FC232" s="203"/>
      <c r="FD232" s="203"/>
      <c r="FE232" s="203"/>
      <c r="FF232" s="203"/>
      <c r="FG232" s="203"/>
      <c r="FH232" s="203"/>
      <c r="FI232" s="203"/>
      <c r="FJ232" s="203"/>
      <c r="FK232" s="203"/>
      <c r="FL232" s="203"/>
      <c r="FM232" s="203"/>
      <c r="FN232" s="203"/>
      <c r="FO232" s="203"/>
      <c r="FP232" s="203"/>
      <c r="FQ232" s="203"/>
      <c r="FR232" s="203"/>
      <c r="FS232" s="203"/>
      <c r="FT232" s="203"/>
      <c r="FU232" s="203"/>
      <c r="FV232" s="203"/>
      <c r="FW232" s="203"/>
      <c r="FX232" s="203"/>
      <c r="FY232" s="203"/>
      <c r="FZ232" s="203"/>
      <c r="GA232" s="203"/>
      <c r="GB232" s="203"/>
      <c r="GC232" s="203"/>
      <c r="GD232" s="203"/>
      <c r="GE232" s="203"/>
      <c r="GF232" s="203"/>
      <c r="GG232" s="203"/>
      <c r="GH232" s="203"/>
      <c r="GI232" s="203"/>
      <c r="GJ232" s="203"/>
      <c r="GK232" s="203"/>
      <c r="GL232" s="203"/>
      <c r="GM232" s="203"/>
      <c r="GN232" s="203"/>
      <c r="GO232" s="203"/>
      <c r="GP232" s="203"/>
      <c r="GQ232" s="203"/>
      <c r="GR232" s="203"/>
      <c r="GS232" s="203"/>
      <c r="GT232" s="203"/>
      <c r="GU232" s="203"/>
      <c r="GV232" s="203"/>
      <c r="GW232" s="203"/>
      <c r="GX232" s="203"/>
      <c r="GY232" s="203"/>
      <c r="GZ232" s="203"/>
      <c r="HA232" s="203"/>
      <c r="HB232" s="203"/>
      <c r="HC232" s="203"/>
      <c r="HD232" s="203"/>
      <c r="HE232" s="203"/>
      <c r="HF232" s="203"/>
      <c r="HG232" s="203"/>
      <c r="HH232" s="203"/>
      <c r="HI232" s="203"/>
      <c r="HJ232" s="203"/>
      <c r="HK232" s="203"/>
      <c r="HL232" s="203"/>
      <c r="HM232" s="203"/>
      <c r="HN232" s="203"/>
      <c r="HO232" s="203"/>
      <c r="HP232" s="203"/>
      <c r="HQ232" s="203"/>
      <c r="HR232" s="203"/>
      <c r="HS232" s="203"/>
      <c r="HT232" s="203"/>
      <c r="HU232" s="203"/>
      <c r="HV232" s="203"/>
      <c r="HW232" s="203"/>
      <c r="HX232" s="203"/>
      <c r="HY232" s="203"/>
      <c r="HZ232" s="203"/>
      <c r="IA232" s="203"/>
      <c r="IB232" s="203"/>
      <c r="IC232" s="203"/>
      <c r="ID232" s="203"/>
      <c r="IE232" s="203"/>
      <c r="IF232" s="203"/>
      <c r="IG232" s="203"/>
      <c r="IH232" s="203"/>
      <c r="II232" s="203"/>
      <c r="IJ232" s="203"/>
      <c r="IK232" s="203"/>
      <c r="IL232" s="203"/>
      <c r="IM232" s="203"/>
      <c r="IN232" s="203"/>
      <c r="IO232" s="203"/>
      <c r="IP232" s="203"/>
      <c r="IQ232" s="203"/>
      <c r="IR232" s="203"/>
      <c r="IS232" s="203"/>
      <c r="IT232" s="203"/>
      <c r="IU232" s="203"/>
      <c r="IV232" s="203"/>
    </row>
    <row r="233" spans="1:34" ht="3.75" customHeight="1">
      <c r="A233" s="222"/>
      <c r="B233" s="218"/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03"/>
      <c r="U233" s="203"/>
      <c r="V233" s="203"/>
      <c r="W233" s="203"/>
      <c r="X233" s="516"/>
      <c r="AH233" s="530"/>
    </row>
    <row r="234" spans="1:34" ht="12.75">
      <c r="A234" s="275" t="s">
        <v>270</v>
      </c>
      <c r="B234" s="314" t="s">
        <v>220</v>
      </c>
      <c r="X234" s="516"/>
      <c r="AH234" s="530"/>
    </row>
    <row r="235" spans="24:34" ht="3" customHeight="1">
      <c r="X235" s="516"/>
      <c r="AH235" s="530"/>
    </row>
    <row r="236" spans="1:34" ht="14.25" customHeight="1">
      <c r="A236" s="865" t="s">
        <v>204</v>
      </c>
      <c r="B236" s="1047" t="s">
        <v>221</v>
      </c>
      <c r="C236" s="1048"/>
      <c r="D236" s="1048"/>
      <c r="E236" s="1048"/>
      <c r="F236" s="1048"/>
      <c r="G236" s="1048"/>
      <c r="H236" s="1048"/>
      <c r="I236" s="1048"/>
      <c r="J236" s="1049"/>
      <c r="K236" s="766" t="s">
        <v>206</v>
      </c>
      <c r="L236" s="767"/>
      <c r="M236" s="767"/>
      <c r="N236" s="767"/>
      <c r="O236" s="767"/>
      <c r="P236" s="767"/>
      <c r="Q236" s="767"/>
      <c r="R236" s="767"/>
      <c r="S236" s="767"/>
      <c r="T236" s="767"/>
      <c r="U236" s="767"/>
      <c r="V236" s="767"/>
      <c r="W236" s="768"/>
      <c r="X236" s="516"/>
      <c r="AH236" s="530"/>
    </row>
    <row r="237" spans="1:34" ht="14.25" customHeight="1">
      <c r="A237" s="865"/>
      <c r="B237" s="1050"/>
      <c r="C237" s="1051"/>
      <c r="D237" s="1051"/>
      <c r="E237" s="1051"/>
      <c r="F237" s="1051"/>
      <c r="G237" s="1051"/>
      <c r="H237" s="1051"/>
      <c r="I237" s="1051"/>
      <c r="J237" s="1052"/>
      <c r="K237" s="769" t="s">
        <v>207</v>
      </c>
      <c r="L237" s="770"/>
      <c r="M237" s="770"/>
      <c r="N237" s="770"/>
      <c r="O237" s="770"/>
      <c r="P237" s="770"/>
      <c r="Q237" s="770"/>
      <c r="R237" s="770"/>
      <c r="S237" s="770"/>
      <c r="T237" s="770"/>
      <c r="U237" s="770"/>
      <c r="V237" s="770"/>
      <c r="W237" s="771"/>
      <c r="X237" s="516"/>
      <c r="AH237" s="530"/>
    </row>
    <row r="238" spans="1:34" ht="14.25" customHeight="1">
      <c r="A238" s="865"/>
      <c r="B238" s="1050"/>
      <c r="C238" s="1051"/>
      <c r="D238" s="1051"/>
      <c r="E238" s="1051"/>
      <c r="F238" s="1051"/>
      <c r="G238" s="1051"/>
      <c r="H238" s="1051"/>
      <c r="I238" s="1051"/>
      <c r="J238" s="1052"/>
      <c r="K238" s="922">
        <v>0</v>
      </c>
      <c r="L238" s="922"/>
      <c r="M238" s="922"/>
      <c r="N238" s="922"/>
      <c r="O238" s="922"/>
      <c r="P238" s="821">
        <v>10</v>
      </c>
      <c r="Q238" s="822"/>
      <c r="R238" s="822"/>
      <c r="S238" s="823"/>
      <c r="T238" s="821">
        <v>20</v>
      </c>
      <c r="U238" s="822"/>
      <c r="V238" s="822"/>
      <c r="W238" s="823"/>
      <c r="X238" s="516"/>
      <c r="AH238" s="530"/>
    </row>
    <row r="239" spans="1:34" ht="14.25" customHeight="1">
      <c r="A239" s="865"/>
      <c r="B239" s="1050"/>
      <c r="C239" s="1051"/>
      <c r="D239" s="1051"/>
      <c r="E239" s="1051"/>
      <c r="F239" s="1051"/>
      <c r="G239" s="1051"/>
      <c r="H239" s="1051"/>
      <c r="I239" s="1051"/>
      <c r="J239" s="1052"/>
      <c r="K239" s="923" t="s">
        <v>289</v>
      </c>
      <c r="L239" s="923"/>
      <c r="M239" s="923"/>
      <c r="N239" s="923"/>
      <c r="O239" s="923"/>
      <c r="P239" s="726" t="s">
        <v>290</v>
      </c>
      <c r="Q239" s="727"/>
      <c r="R239" s="727"/>
      <c r="S239" s="728"/>
      <c r="T239" s="726" t="s">
        <v>222</v>
      </c>
      <c r="U239" s="727"/>
      <c r="V239" s="727"/>
      <c r="W239" s="728"/>
      <c r="X239" s="516"/>
      <c r="AH239" s="530"/>
    </row>
    <row r="240" spans="1:34" ht="14.25" customHeight="1">
      <c r="A240" s="865"/>
      <c r="B240" s="1050"/>
      <c r="C240" s="1051"/>
      <c r="D240" s="1051"/>
      <c r="E240" s="1051"/>
      <c r="F240" s="1051"/>
      <c r="G240" s="1051"/>
      <c r="H240" s="1051"/>
      <c r="I240" s="1051"/>
      <c r="J240" s="1052"/>
      <c r="K240" s="923"/>
      <c r="L240" s="923"/>
      <c r="M240" s="923"/>
      <c r="N240" s="923"/>
      <c r="O240" s="923"/>
      <c r="P240" s="729"/>
      <c r="Q240" s="730"/>
      <c r="R240" s="730"/>
      <c r="S240" s="731"/>
      <c r="T240" s="729"/>
      <c r="U240" s="730"/>
      <c r="V240" s="730"/>
      <c r="W240" s="731"/>
      <c r="X240" s="516"/>
      <c r="AH240" s="530"/>
    </row>
    <row r="241" spans="1:34" ht="14.25" customHeight="1">
      <c r="A241" s="865"/>
      <c r="B241" s="1050"/>
      <c r="C241" s="1051"/>
      <c r="D241" s="1051"/>
      <c r="E241" s="1051"/>
      <c r="F241" s="1051"/>
      <c r="G241" s="1051"/>
      <c r="H241" s="1051"/>
      <c r="I241" s="1051"/>
      <c r="J241" s="1052"/>
      <c r="K241" s="923"/>
      <c r="L241" s="923"/>
      <c r="M241" s="923"/>
      <c r="N241" s="923"/>
      <c r="O241" s="923"/>
      <c r="P241" s="729"/>
      <c r="Q241" s="730"/>
      <c r="R241" s="730"/>
      <c r="S241" s="731"/>
      <c r="T241" s="729"/>
      <c r="U241" s="730"/>
      <c r="V241" s="730"/>
      <c r="W241" s="731"/>
      <c r="X241" s="516"/>
      <c r="AE241" s="315" t="s">
        <v>417</v>
      </c>
      <c r="AH241" s="530"/>
    </row>
    <row r="242" spans="1:34" ht="9.75" customHeight="1">
      <c r="A242" s="865"/>
      <c r="B242" s="1053"/>
      <c r="C242" s="1054"/>
      <c r="D242" s="1054"/>
      <c r="E242" s="1054"/>
      <c r="F242" s="1054"/>
      <c r="G242" s="1054"/>
      <c r="H242" s="1054"/>
      <c r="I242" s="1054"/>
      <c r="J242" s="1055"/>
      <c r="K242" s="923"/>
      <c r="L242" s="923"/>
      <c r="M242" s="923"/>
      <c r="N242" s="923"/>
      <c r="O242" s="923"/>
      <c r="P242" s="740"/>
      <c r="Q242" s="741"/>
      <c r="R242" s="741"/>
      <c r="S242" s="742"/>
      <c r="T242" s="729"/>
      <c r="U242" s="730"/>
      <c r="V242" s="730"/>
      <c r="W242" s="731"/>
      <c r="X242" s="516"/>
      <c r="Z242" s="263" t="s">
        <v>209</v>
      </c>
      <c r="AA242" s="264" t="s">
        <v>281</v>
      </c>
      <c r="AE242" s="569" t="s">
        <v>3</v>
      </c>
      <c r="AF242" s="570" t="s">
        <v>2</v>
      </c>
      <c r="AH242" s="530"/>
    </row>
    <row r="243" spans="1:34" ht="12.75">
      <c r="A243" s="737" t="s">
        <v>189</v>
      </c>
      <c r="B243" s="718" t="s">
        <v>551</v>
      </c>
      <c r="C243" s="719"/>
      <c r="D243" s="719"/>
      <c r="E243" s="719"/>
      <c r="F243" s="719"/>
      <c r="G243" s="719"/>
      <c r="H243" s="719"/>
      <c r="I243" s="719"/>
      <c r="J243" s="720"/>
      <c r="K243" s="782">
        <f>IF(SUM(P243:W246)=0,IF(FIO="","",0),"")</f>
      </c>
      <c r="L243" s="783"/>
      <c r="M243" s="783"/>
      <c r="N243" s="783"/>
      <c r="O243" s="784"/>
      <c r="P243" s="773"/>
      <c r="Q243" s="774"/>
      <c r="R243" s="774"/>
      <c r="S243" s="775"/>
      <c r="T243" s="773"/>
      <c r="U243" s="774"/>
      <c r="V243" s="774"/>
      <c r="W243" s="775"/>
      <c r="X243" s="516"/>
      <c r="Y243" s="924">
        <f>MAX(K243:W246)</f>
        <v>0</v>
      </c>
      <c r="Z243" s="265">
        <v>60</v>
      </c>
      <c r="AA243" s="282">
        <f>IF(z_kateg="высшая",AE243,AF243)</f>
        <v>50</v>
      </c>
      <c r="AE243" s="571">
        <v>60</v>
      </c>
      <c r="AF243" s="572">
        <v>50</v>
      </c>
      <c r="AH243" s="530"/>
    </row>
    <row r="244" spans="1:34" ht="12.75">
      <c r="A244" s="738"/>
      <c r="B244" s="721"/>
      <c r="C244" s="722"/>
      <c r="D244" s="722"/>
      <c r="E244" s="722"/>
      <c r="F244" s="722"/>
      <c r="G244" s="722"/>
      <c r="H244" s="722"/>
      <c r="I244" s="722"/>
      <c r="J244" s="723"/>
      <c r="K244" s="785"/>
      <c r="L244" s="786"/>
      <c r="M244" s="786"/>
      <c r="N244" s="786"/>
      <c r="O244" s="787"/>
      <c r="P244" s="776"/>
      <c r="Q244" s="777"/>
      <c r="R244" s="777"/>
      <c r="S244" s="778"/>
      <c r="T244" s="776"/>
      <c r="U244" s="777"/>
      <c r="V244" s="777"/>
      <c r="W244" s="778"/>
      <c r="X244" s="516"/>
      <c r="Y244" s="924"/>
      <c r="AH244" s="530"/>
    </row>
    <row r="245" spans="1:34" ht="12.75">
      <c r="A245" s="738"/>
      <c r="B245" s="721"/>
      <c r="C245" s="722"/>
      <c r="D245" s="722"/>
      <c r="E245" s="722"/>
      <c r="F245" s="722"/>
      <c r="G245" s="722"/>
      <c r="H245" s="722"/>
      <c r="I245" s="722"/>
      <c r="J245" s="723"/>
      <c r="K245" s="785"/>
      <c r="L245" s="786"/>
      <c r="M245" s="786"/>
      <c r="N245" s="786"/>
      <c r="O245" s="787"/>
      <c r="P245" s="776"/>
      <c r="Q245" s="777"/>
      <c r="R245" s="777"/>
      <c r="S245" s="778"/>
      <c r="T245" s="776"/>
      <c r="U245" s="777"/>
      <c r="V245" s="777"/>
      <c r="W245" s="778"/>
      <c r="X245" s="516"/>
      <c r="Y245" s="924"/>
      <c r="AH245" s="530"/>
    </row>
    <row r="246" spans="1:34" ht="6.75" customHeight="1">
      <c r="A246" s="739"/>
      <c r="B246" s="732"/>
      <c r="C246" s="733"/>
      <c r="D246" s="733"/>
      <c r="E246" s="733"/>
      <c r="F246" s="733"/>
      <c r="G246" s="733"/>
      <c r="H246" s="733"/>
      <c r="I246" s="733"/>
      <c r="J246" s="734"/>
      <c r="K246" s="788"/>
      <c r="L246" s="789"/>
      <c r="M246" s="789"/>
      <c r="N246" s="789"/>
      <c r="O246" s="790"/>
      <c r="P246" s="779"/>
      <c r="Q246" s="780"/>
      <c r="R246" s="780"/>
      <c r="S246" s="781"/>
      <c r="T246" s="779"/>
      <c r="U246" s="780"/>
      <c r="V246" s="780"/>
      <c r="W246" s="781"/>
      <c r="X246" s="516"/>
      <c r="Y246" s="924"/>
      <c r="AH246" s="530"/>
    </row>
    <row r="247" spans="1:34" ht="14.25" customHeight="1">
      <c r="A247" s="737" t="s">
        <v>191</v>
      </c>
      <c r="B247" s="718" t="s">
        <v>550</v>
      </c>
      <c r="C247" s="719"/>
      <c r="D247" s="719"/>
      <c r="E247" s="719"/>
      <c r="F247" s="719"/>
      <c r="G247" s="719"/>
      <c r="H247" s="719"/>
      <c r="I247" s="719"/>
      <c r="J247" s="720"/>
      <c r="K247" s="782">
        <f>IF(SUM(P247:W250)=0,IF(FIO="","",0),"")</f>
      </c>
      <c r="L247" s="783"/>
      <c r="M247" s="783"/>
      <c r="N247" s="783"/>
      <c r="O247" s="784"/>
      <c r="P247" s="773"/>
      <c r="Q247" s="774"/>
      <c r="R247" s="774"/>
      <c r="S247" s="775"/>
      <c r="T247" s="773"/>
      <c r="U247" s="774"/>
      <c r="V247" s="774"/>
      <c r="W247" s="775"/>
      <c r="X247" s="516"/>
      <c r="Y247" s="924">
        <f>MAX(K247:W250)</f>
        <v>0</v>
      </c>
      <c r="AB247" s="5" t="s">
        <v>288</v>
      </c>
      <c r="AH247" s="530"/>
    </row>
    <row r="248" spans="1:34" ht="12.75">
      <c r="A248" s="738"/>
      <c r="B248" s="721"/>
      <c r="C248" s="722"/>
      <c r="D248" s="722"/>
      <c r="E248" s="722"/>
      <c r="F248" s="722"/>
      <c r="G248" s="722"/>
      <c r="H248" s="722"/>
      <c r="I248" s="722"/>
      <c r="J248" s="723"/>
      <c r="K248" s="785"/>
      <c r="L248" s="786"/>
      <c r="M248" s="786"/>
      <c r="N248" s="786"/>
      <c r="O248" s="787"/>
      <c r="P248" s="776"/>
      <c r="Q248" s="777"/>
      <c r="R248" s="777"/>
      <c r="S248" s="778"/>
      <c r="T248" s="776"/>
      <c r="U248" s="777"/>
      <c r="V248" s="777"/>
      <c r="W248" s="778"/>
      <c r="X248" s="516"/>
      <c r="Y248" s="924"/>
      <c r="AH248" s="530"/>
    </row>
    <row r="249" spans="1:34" ht="12.75">
      <c r="A249" s="738"/>
      <c r="B249" s="721"/>
      <c r="C249" s="722"/>
      <c r="D249" s="722"/>
      <c r="E249" s="722"/>
      <c r="F249" s="722"/>
      <c r="G249" s="722"/>
      <c r="H249" s="722"/>
      <c r="I249" s="722"/>
      <c r="J249" s="723"/>
      <c r="K249" s="785"/>
      <c r="L249" s="786"/>
      <c r="M249" s="786"/>
      <c r="N249" s="786"/>
      <c r="O249" s="787"/>
      <c r="P249" s="776"/>
      <c r="Q249" s="777"/>
      <c r="R249" s="777"/>
      <c r="S249" s="778"/>
      <c r="T249" s="776"/>
      <c r="U249" s="777"/>
      <c r="V249" s="777"/>
      <c r="W249" s="778"/>
      <c r="X249" s="516"/>
      <c r="Y249" s="924"/>
      <c r="AH249" s="530"/>
    </row>
    <row r="250" spans="1:34" ht="2.25" customHeight="1">
      <c r="A250" s="739"/>
      <c r="B250" s="732"/>
      <c r="C250" s="733"/>
      <c r="D250" s="733"/>
      <c r="E250" s="733"/>
      <c r="F250" s="733"/>
      <c r="G250" s="733"/>
      <c r="H250" s="733"/>
      <c r="I250" s="733"/>
      <c r="J250" s="734"/>
      <c r="K250" s="788"/>
      <c r="L250" s="789"/>
      <c r="M250" s="789"/>
      <c r="N250" s="789"/>
      <c r="O250" s="790"/>
      <c r="P250" s="779"/>
      <c r="Q250" s="780"/>
      <c r="R250" s="780"/>
      <c r="S250" s="781"/>
      <c r="T250" s="779"/>
      <c r="U250" s="780"/>
      <c r="V250" s="780"/>
      <c r="W250" s="781"/>
      <c r="X250" s="516"/>
      <c r="Y250" s="924"/>
      <c r="AH250" s="530"/>
    </row>
    <row r="251" spans="1:34" ht="12.75">
      <c r="A251" s="737" t="s">
        <v>192</v>
      </c>
      <c r="B251" s="718" t="s">
        <v>552</v>
      </c>
      <c r="C251" s="719"/>
      <c r="D251" s="719"/>
      <c r="E251" s="719"/>
      <c r="F251" s="719"/>
      <c r="G251" s="719"/>
      <c r="H251" s="719"/>
      <c r="I251" s="719"/>
      <c r="J251" s="720"/>
      <c r="K251" s="782">
        <f>IF(SUM(P251:W254)=0,IF(FIO="","",0),"")</f>
      </c>
      <c r="L251" s="783"/>
      <c r="M251" s="783"/>
      <c r="N251" s="783"/>
      <c r="O251" s="784"/>
      <c r="P251" s="773"/>
      <c r="Q251" s="774"/>
      <c r="R251" s="774"/>
      <c r="S251" s="775"/>
      <c r="T251" s="773"/>
      <c r="U251" s="774"/>
      <c r="V251" s="774"/>
      <c r="W251" s="775"/>
      <c r="X251" s="516"/>
      <c r="Y251" s="924">
        <f>MAX(K251:W254)</f>
        <v>0</v>
      </c>
      <c r="AH251" s="530"/>
    </row>
    <row r="252" spans="1:34" ht="12.75">
      <c r="A252" s="738"/>
      <c r="B252" s="721"/>
      <c r="C252" s="722"/>
      <c r="D252" s="722"/>
      <c r="E252" s="722"/>
      <c r="F252" s="722"/>
      <c r="G252" s="722"/>
      <c r="H252" s="722"/>
      <c r="I252" s="722"/>
      <c r="J252" s="723"/>
      <c r="K252" s="785"/>
      <c r="L252" s="786"/>
      <c r="M252" s="786"/>
      <c r="N252" s="786"/>
      <c r="O252" s="787"/>
      <c r="P252" s="776"/>
      <c r="Q252" s="777"/>
      <c r="R252" s="777"/>
      <c r="S252" s="778"/>
      <c r="T252" s="776"/>
      <c r="U252" s="777"/>
      <c r="V252" s="777"/>
      <c r="W252" s="778"/>
      <c r="X252" s="516"/>
      <c r="Y252" s="924"/>
      <c r="AH252" s="530"/>
    </row>
    <row r="253" spans="1:34" ht="12.75">
      <c r="A253" s="738"/>
      <c r="B253" s="721"/>
      <c r="C253" s="722"/>
      <c r="D253" s="722"/>
      <c r="E253" s="722"/>
      <c r="F253" s="722"/>
      <c r="G253" s="722"/>
      <c r="H253" s="722"/>
      <c r="I253" s="722"/>
      <c r="J253" s="723"/>
      <c r="K253" s="785"/>
      <c r="L253" s="786"/>
      <c r="M253" s="786"/>
      <c r="N253" s="786"/>
      <c r="O253" s="787"/>
      <c r="P253" s="776"/>
      <c r="Q253" s="777"/>
      <c r="R253" s="777"/>
      <c r="S253" s="778"/>
      <c r="T253" s="776"/>
      <c r="U253" s="777"/>
      <c r="V253" s="777"/>
      <c r="W253" s="778"/>
      <c r="X253" s="516"/>
      <c r="Y253" s="924"/>
      <c r="AH253" s="530"/>
    </row>
    <row r="254" spans="1:34" ht="1.5" customHeight="1">
      <c r="A254" s="739"/>
      <c r="B254" s="732"/>
      <c r="C254" s="733"/>
      <c r="D254" s="733"/>
      <c r="E254" s="733"/>
      <c r="F254" s="733"/>
      <c r="G254" s="733"/>
      <c r="H254" s="733"/>
      <c r="I254" s="733"/>
      <c r="J254" s="734"/>
      <c r="K254" s="788"/>
      <c r="L254" s="789"/>
      <c r="M254" s="789"/>
      <c r="N254" s="789"/>
      <c r="O254" s="790"/>
      <c r="P254" s="779"/>
      <c r="Q254" s="780"/>
      <c r="R254" s="780"/>
      <c r="S254" s="781"/>
      <c r="T254" s="779"/>
      <c r="U254" s="780"/>
      <c r="V254" s="780"/>
      <c r="W254" s="781"/>
      <c r="X254" s="516"/>
      <c r="Y254" s="924"/>
      <c r="AH254" s="530"/>
    </row>
    <row r="255" spans="1:34" ht="6.75" customHeight="1">
      <c r="A255" s="288"/>
      <c r="B255" s="238"/>
      <c r="C255" s="238"/>
      <c r="D255" s="238"/>
      <c r="E255" s="238"/>
      <c r="F255" s="13"/>
      <c r="G255" s="13"/>
      <c r="H255" s="13"/>
      <c r="I255" s="13"/>
      <c r="J255" s="13"/>
      <c r="K255" s="13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  <c r="X255" s="516"/>
      <c r="AH255" s="530"/>
    </row>
    <row r="256" spans="1:34" ht="12.75">
      <c r="A256" s="275" t="s">
        <v>223</v>
      </c>
      <c r="B256" s="314" t="s">
        <v>224</v>
      </c>
      <c r="X256" s="516"/>
      <c r="AH256" s="530"/>
    </row>
    <row r="257" spans="1:34" ht="12.75">
      <c r="A257" s="304" t="s">
        <v>225</v>
      </c>
      <c r="X257" s="516"/>
      <c r="AH257" s="530"/>
    </row>
    <row r="258" spans="1:34" ht="14.25" customHeight="1">
      <c r="A258" s="865" t="s">
        <v>204</v>
      </c>
      <c r="B258" s="1035" t="s">
        <v>478</v>
      </c>
      <c r="C258" s="1036"/>
      <c r="D258" s="1036"/>
      <c r="E258" s="1036"/>
      <c r="F258" s="1036"/>
      <c r="G258" s="1036"/>
      <c r="H258" s="1036"/>
      <c r="I258" s="1036"/>
      <c r="J258" s="1037"/>
      <c r="K258" s="766" t="s">
        <v>216</v>
      </c>
      <c r="L258" s="767"/>
      <c r="M258" s="767"/>
      <c r="N258" s="767"/>
      <c r="O258" s="767"/>
      <c r="P258" s="767"/>
      <c r="Q258" s="767"/>
      <c r="R258" s="767"/>
      <c r="S258" s="767"/>
      <c r="T258" s="767"/>
      <c r="U258" s="767"/>
      <c r="V258" s="767"/>
      <c r="W258" s="768"/>
      <c r="X258" s="516"/>
      <c r="AH258" s="530"/>
    </row>
    <row r="259" spans="1:34" ht="14.25" customHeight="1">
      <c r="A259" s="865"/>
      <c r="B259" s="1038"/>
      <c r="C259" s="1039"/>
      <c r="D259" s="1039"/>
      <c r="E259" s="1039"/>
      <c r="F259" s="1039"/>
      <c r="G259" s="1039"/>
      <c r="H259" s="1039"/>
      <c r="I259" s="1039"/>
      <c r="J259" s="1040"/>
      <c r="K259" s="769" t="s">
        <v>207</v>
      </c>
      <c r="L259" s="770"/>
      <c r="M259" s="770"/>
      <c r="N259" s="770"/>
      <c r="O259" s="770"/>
      <c r="P259" s="770"/>
      <c r="Q259" s="770"/>
      <c r="R259" s="770"/>
      <c r="S259" s="770"/>
      <c r="T259" s="770"/>
      <c r="U259" s="770"/>
      <c r="V259" s="770"/>
      <c r="W259" s="771"/>
      <c r="X259" s="516"/>
      <c r="AH259" s="530"/>
    </row>
    <row r="260" spans="1:34" ht="14.25" customHeight="1">
      <c r="A260" s="865"/>
      <c r="B260" s="1038"/>
      <c r="C260" s="1039"/>
      <c r="D260" s="1039"/>
      <c r="E260" s="1039"/>
      <c r="F260" s="1039"/>
      <c r="G260" s="1039"/>
      <c r="H260" s="1039"/>
      <c r="I260" s="1039"/>
      <c r="J260" s="1040"/>
      <c r="K260" s="717">
        <v>0</v>
      </c>
      <c r="L260" s="717"/>
      <c r="M260" s="717"/>
      <c r="N260" s="717"/>
      <c r="O260" s="717"/>
      <c r="P260" s="821">
        <v>10</v>
      </c>
      <c r="Q260" s="822"/>
      <c r="R260" s="822"/>
      <c r="S260" s="823"/>
      <c r="T260" s="821">
        <v>20</v>
      </c>
      <c r="U260" s="822"/>
      <c r="V260" s="822"/>
      <c r="W260" s="823"/>
      <c r="X260" s="516"/>
      <c r="AH260" s="530"/>
    </row>
    <row r="261" spans="1:34" ht="14.25" customHeight="1">
      <c r="A261" s="865"/>
      <c r="B261" s="1038"/>
      <c r="C261" s="1039"/>
      <c r="D261" s="1039"/>
      <c r="E261" s="1039"/>
      <c r="F261" s="1039"/>
      <c r="G261" s="1039"/>
      <c r="H261" s="1039"/>
      <c r="I261" s="1039"/>
      <c r="J261" s="1040"/>
      <c r="K261" s="923" t="s">
        <v>477</v>
      </c>
      <c r="L261" s="923"/>
      <c r="M261" s="923"/>
      <c r="N261" s="923"/>
      <c r="O261" s="923"/>
      <c r="P261" s="726" t="s">
        <v>290</v>
      </c>
      <c r="Q261" s="727"/>
      <c r="R261" s="727"/>
      <c r="S261" s="728"/>
      <c r="T261" s="726" t="s">
        <v>222</v>
      </c>
      <c r="U261" s="727"/>
      <c r="V261" s="727"/>
      <c r="W261" s="728"/>
      <c r="X261" s="516"/>
      <c r="AH261" s="530"/>
    </row>
    <row r="262" spans="1:34" ht="14.25" customHeight="1">
      <c r="A262" s="865"/>
      <c r="B262" s="1041" t="s">
        <v>479</v>
      </c>
      <c r="C262" s="1042"/>
      <c r="D262" s="1042"/>
      <c r="E262" s="1042"/>
      <c r="F262" s="1042"/>
      <c r="G262" s="1042"/>
      <c r="H262" s="1042"/>
      <c r="I262" s="1042"/>
      <c r="J262" s="1043"/>
      <c r="K262" s="923"/>
      <c r="L262" s="923"/>
      <c r="M262" s="923"/>
      <c r="N262" s="923"/>
      <c r="O262" s="923"/>
      <c r="P262" s="729"/>
      <c r="Q262" s="730"/>
      <c r="R262" s="730"/>
      <c r="S262" s="731"/>
      <c r="T262" s="729"/>
      <c r="U262" s="730"/>
      <c r="V262" s="730"/>
      <c r="W262" s="731"/>
      <c r="X262" s="516"/>
      <c r="AH262" s="530"/>
    </row>
    <row r="263" spans="1:34" ht="14.25" customHeight="1">
      <c r="A263" s="865"/>
      <c r="B263" s="1041"/>
      <c r="C263" s="1042"/>
      <c r="D263" s="1042"/>
      <c r="E263" s="1042"/>
      <c r="F263" s="1042"/>
      <c r="G263" s="1042"/>
      <c r="H263" s="1042"/>
      <c r="I263" s="1042"/>
      <c r="J263" s="1043"/>
      <c r="K263" s="923"/>
      <c r="L263" s="923"/>
      <c r="M263" s="923"/>
      <c r="N263" s="923"/>
      <c r="O263" s="923"/>
      <c r="P263" s="729"/>
      <c r="Q263" s="730"/>
      <c r="R263" s="730"/>
      <c r="S263" s="731"/>
      <c r="T263" s="729"/>
      <c r="U263" s="730"/>
      <c r="V263" s="730"/>
      <c r="W263" s="731"/>
      <c r="X263" s="516"/>
      <c r="AH263" s="530"/>
    </row>
    <row r="264" spans="1:34" ht="2.25" customHeight="1">
      <c r="A264" s="865"/>
      <c r="B264" s="1044"/>
      <c r="C264" s="1045"/>
      <c r="D264" s="1045"/>
      <c r="E264" s="1045"/>
      <c r="F264" s="1045"/>
      <c r="G264" s="1045"/>
      <c r="H264" s="1045"/>
      <c r="I264" s="1045"/>
      <c r="J264" s="1046"/>
      <c r="K264" s="925"/>
      <c r="L264" s="925"/>
      <c r="M264" s="925"/>
      <c r="N264" s="925"/>
      <c r="O264" s="925"/>
      <c r="P264" s="740"/>
      <c r="Q264" s="741"/>
      <c r="R264" s="741"/>
      <c r="S264" s="742"/>
      <c r="T264" s="729"/>
      <c r="U264" s="730"/>
      <c r="V264" s="730"/>
      <c r="W264" s="731"/>
      <c r="X264" s="516"/>
      <c r="AH264" s="530"/>
    </row>
    <row r="265" spans="1:34" ht="14.25" customHeight="1">
      <c r="A265" s="872" t="s">
        <v>189</v>
      </c>
      <c r="B265" s="1026"/>
      <c r="C265" s="1027"/>
      <c r="D265" s="1027"/>
      <c r="E265" s="1027"/>
      <c r="F265" s="1027"/>
      <c r="G265" s="1027"/>
      <c r="H265" s="1027"/>
      <c r="I265" s="1027"/>
      <c r="J265" s="1028"/>
      <c r="K265" s="783">
        <f>IF(AND(FIO&lt;&gt;"",P265="",T265=""),0,IF(z_kateg="первая","Не заполнять  на первую кв.кат.!",""))</f>
      </c>
      <c r="L265" s="783"/>
      <c r="M265" s="783"/>
      <c r="N265" s="783"/>
      <c r="O265" s="784"/>
      <c r="P265" s="725"/>
      <c r="Q265" s="725"/>
      <c r="R265" s="725"/>
      <c r="S265" s="725"/>
      <c r="T265" s="773"/>
      <c r="U265" s="774"/>
      <c r="V265" s="774"/>
      <c r="W265" s="775"/>
      <c r="X265" s="516"/>
      <c r="Y265" s="924">
        <f>IF(z_kateg="первая",0,MAX(K265:W268))</f>
        <v>0</v>
      </c>
      <c r="Z265" s="263" t="s">
        <v>209</v>
      </c>
      <c r="AA265" s="264" t="s">
        <v>281</v>
      </c>
      <c r="AE265" s="569" t="s">
        <v>3</v>
      </c>
      <c r="AF265" s="570" t="s">
        <v>2</v>
      </c>
      <c r="AH265" s="530"/>
    </row>
    <row r="266" spans="1:34" ht="14.25" customHeight="1">
      <c r="A266" s="873"/>
      <c r="B266" s="1029"/>
      <c r="C266" s="1030"/>
      <c r="D266" s="1030"/>
      <c r="E266" s="1030"/>
      <c r="F266" s="1030"/>
      <c r="G266" s="1030"/>
      <c r="H266" s="1030"/>
      <c r="I266" s="1030"/>
      <c r="J266" s="1031"/>
      <c r="K266" s="786"/>
      <c r="L266" s="786"/>
      <c r="M266" s="786"/>
      <c r="N266" s="786"/>
      <c r="O266" s="787"/>
      <c r="P266" s="725"/>
      <c r="Q266" s="725"/>
      <c r="R266" s="725"/>
      <c r="S266" s="725"/>
      <c r="T266" s="776"/>
      <c r="U266" s="777"/>
      <c r="V266" s="777"/>
      <c r="W266" s="778"/>
      <c r="X266" s="516"/>
      <c r="Y266" s="924"/>
      <c r="Z266" s="265">
        <v>40</v>
      </c>
      <c r="AA266" s="282">
        <f>IF(z_kateg="высшая",AE266,AF266)</f>
        <v>0</v>
      </c>
      <c r="AE266" s="571">
        <v>40</v>
      </c>
      <c r="AF266" s="572">
        <v>0</v>
      </c>
      <c r="AH266" s="530"/>
    </row>
    <row r="267" spans="1:34" ht="14.25" customHeight="1">
      <c r="A267" s="873"/>
      <c r="B267" s="1029"/>
      <c r="C267" s="1030"/>
      <c r="D267" s="1030"/>
      <c r="E267" s="1030"/>
      <c r="F267" s="1030"/>
      <c r="G267" s="1030"/>
      <c r="H267" s="1030"/>
      <c r="I267" s="1030"/>
      <c r="J267" s="1031"/>
      <c r="K267" s="786"/>
      <c r="L267" s="786"/>
      <c r="M267" s="786"/>
      <c r="N267" s="786"/>
      <c r="O267" s="787"/>
      <c r="P267" s="725"/>
      <c r="Q267" s="725"/>
      <c r="R267" s="725"/>
      <c r="S267" s="725"/>
      <c r="T267" s="776"/>
      <c r="U267" s="777"/>
      <c r="V267" s="777"/>
      <c r="W267" s="778"/>
      <c r="X267" s="516"/>
      <c r="Y267" s="924"/>
      <c r="AH267" s="530"/>
    </row>
    <row r="268" spans="1:34" ht="10.5" customHeight="1">
      <c r="A268" s="874"/>
      <c r="B268" s="1032"/>
      <c r="C268" s="1033"/>
      <c r="D268" s="1033"/>
      <c r="E268" s="1033"/>
      <c r="F268" s="1033"/>
      <c r="G268" s="1033"/>
      <c r="H268" s="1033"/>
      <c r="I268" s="1033"/>
      <c r="J268" s="1034"/>
      <c r="K268" s="789"/>
      <c r="L268" s="789"/>
      <c r="M268" s="789"/>
      <c r="N268" s="789"/>
      <c r="O268" s="790"/>
      <c r="P268" s="725"/>
      <c r="Q268" s="725"/>
      <c r="R268" s="725"/>
      <c r="S268" s="725"/>
      <c r="T268" s="779"/>
      <c r="U268" s="780"/>
      <c r="V268" s="780"/>
      <c r="W268" s="781"/>
      <c r="X268" s="516"/>
      <c r="Y268" s="924"/>
      <c r="AH268" s="530"/>
    </row>
    <row r="269" spans="1:34" ht="14.25" customHeight="1">
      <c r="A269" s="737" t="s">
        <v>191</v>
      </c>
      <c r="B269" s="1026"/>
      <c r="C269" s="1027"/>
      <c r="D269" s="1027"/>
      <c r="E269" s="1027"/>
      <c r="F269" s="1027"/>
      <c r="G269" s="1027"/>
      <c r="H269" s="1027"/>
      <c r="I269" s="1027"/>
      <c r="J269" s="1028"/>
      <c r="K269" s="783">
        <f>IF(AND(FIO&lt;&gt;"",P269="",T269=""),0,IF(z_kateg="первая","Не заполнять  на первую кв.кат.!",""))</f>
      </c>
      <c r="L269" s="783"/>
      <c r="M269" s="783"/>
      <c r="N269" s="783"/>
      <c r="O269" s="784"/>
      <c r="P269" s="725"/>
      <c r="Q269" s="725"/>
      <c r="R269" s="725"/>
      <c r="S269" s="725"/>
      <c r="T269" s="773"/>
      <c r="U269" s="774"/>
      <c r="V269" s="774"/>
      <c r="W269" s="775"/>
      <c r="X269" s="516"/>
      <c r="Y269" s="924">
        <f>IF(z_kateg="первая",0,MAX(K269:W272))</f>
        <v>0</v>
      </c>
      <c r="AH269" s="530"/>
    </row>
    <row r="270" spans="1:34" ht="14.25" customHeight="1">
      <c r="A270" s="738"/>
      <c r="B270" s="1029"/>
      <c r="C270" s="1030"/>
      <c r="D270" s="1030"/>
      <c r="E270" s="1030"/>
      <c r="F270" s="1030"/>
      <c r="G270" s="1030"/>
      <c r="H270" s="1030"/>
      <c r="I270" s="1030"/>
      <c r="J270" s="1031"/>
      <c r="K270" s="786"/>
      <c r="L270" s="786"/>
      <c r="M270" s="786"/>
      <c r="N270" s="786"/>
      <c r="O270" s="787"/>
      <c r="P270" s="725"/>
      <c r="Q270" s="725"/>
      <c r="R270" s="725"/>
      <c r="S270" s="725"/>
      <c r="T270" s="776"/>
      <c r="U270" s="777"/>
      <c r="V270" s="777"/>
      <c r="W270" s="778"/>
      <c r="X270" s="516"/>
      <c r="Y270" s="924"/>
      <c r="AH270" s="530"/>
    </row>
    <row r="271" spans="1:34" ht="14.25" customHeight="1">
      <c r="A271" s="738"/>
      <c r="B271" s="1029"/>
      <c r="C271" s="1030"/>
      <c r="D271" s="1030"/>
      <c r="E271" s="1030"/>
      <c r="F271" s="1030"/>
      <c r="G271" s="1030"/>
      <c r="H271" s="1030"/>
      <c r="I271" s="1030"/>
      <c r="J271" s="1031"/>
      <c r="K271" s="786"/>
      <c r="L271" s="786"/>
      <c r="M271" s="786"/>
      <c r="N271" s="786"/>
      <c r="O271" s="787"/>
      <c r="P271" s="725"/>
      <c r="Q271" s="725"/>
      <c r="R271" s="725"/>
      <c r="S271" s="725"/>
      <c r="T271" s="776"/>
      <c r="U271" s="777"/>
      <c r="V271" s="777"/>
      <c r="W271" s="778"/>
      <c r="X271" s="516"/>
      <c r="Y271" s="924"/>
      <c r="AH271" s="530"/>
    </row>
    <row r="272" spans="1:34" ht="11.25" customHeight="1">
      <c r="A272" s="739"/>
      <c r="B272" s="1032"/>
      <c r="C272" s="1033"/>
      <c r="D272" s="1033"/>
      <c r="E272" s="1033"/>
      <c r="F272" s="1033"/>
      <c r="G272" s="1033"/>
      <c r="H272" s="1033"/>
      <c r="I272" s="1033"/>
      <c r="J272" s="1034"/>
      <c r="K272" s="789"/>
      <c r="L272" s="789"/>
      <c r="M272" s="789"/>
      <c r="N272" s="789"/>
      <c r="O272" s="790"/>
      <c r="P272" s="725"/>
      <c r="Q272" s="725"/>
      <c r="R272" s="725"/>
      <c r="S272" s="725"/>
      <c r="T272" s="779"/>
      <c r="U272" s="780"/>
      <c r="V272" s="780"/>
      <c r="W272" s="781"/>
      <c r="X272" s="516"/>
      <c r="Y272" s="924"/>
      <c r="AH272" s="530"/>
    </row>
    <row r="273" spans="24:34" ht="6.75" customHeight="1">
      <c r="X273" s="516"/>
      <c r="AH273" s="530"/>
    </row>
    <row r="274" spans="1:34" ht="13.5">
      <c r="A274" s="275" t="s">
        <v>226</v>
      </c>
      <c r="B274" s="210" t="s">
        <v>227</v>
      </c>
      <c r="X274" s="516"/>
      <c r="AH274" s="530"/>
    </row>
    <row r="275" spans="1:34" ht="13.5">
      <c r="A275" s="757" t="s">
        <v>204</v>
      </c>
      <c r="B275" s="760" t="s">
        <v>205</v>
      </c>
      <c r="C275" s="761"/>
      <c r="D275" s="761"/>
      <c r="E275" s="761"/>
      <c r="F275" s="761"/>
      <c r="G275" s="761"/>
      <c r="H275" s="761"/>
      <c r="I275" s="766" t="s">
        <v>206</v>
      </c>
      <c r="J275" s="767"/>
      <c r="K275" s="767"/>
      <c r="L275" s="767"/>
      <c r="M275" s="767"/>
      <c r="N275" s="767"/>
      <c r="O275" s="767"/>
      <c r="P275" s="767"/>
      <c r="Q275" s="767"/>
      <c r="R275" s="767"/>
      <c r="S275" s="767"/>
      <c r="T275" s="767"/>
      <c r="U275" s="767"/>
      <c r="V275" s="767"/>
      <c r="W275" s="768"/>
      <c r="X275" s="516"/>
      <c r="AE275" s="5"/>
      <c r="AF275" s="5"/>
      <c r="AH275" s="387"/>
    </row>
    <row r="276" spans="1:34" ht="14.25" customHeight="1">
      <c r="A276" s="758"/>
      <c r="B276" s="762"/>
      <c r="C276" s="763"/>
      <c r="D276" s="763"/>
      <c r="E276" s="763"/>
      <c r="F276" s="763"/>
      <c r="G276" s="763"/>
      <c r="H276" s="763"/>
      <c r="I276" s="769" t="s">
        <v>207</v>
      </c>
      <c r="J276" s="770"/>
      <c r="K276" s="770"/>
      <c r="L276" s="770"/>
      <c r="M276" s="770"/>
      <c r="N276" s="770"/>
      <c r="O276" s="770"/>
      <c r="P276" s="770"/>
      <c r="Q276" s="770"/>
      <c r="R276" s="770"/>
      <c r="S276" s="770"/>
      <c r="T276" s="770"/>
      <c r="U276" s="770"/>
      <c r="V276" s="770"/>
      <c r="W276" s="771"/>
      <c r="X276" s="516"/>
      <c r="AE276" s="5"/>
      <c r="AF276" s="5"/>
      <c r="AH276" s="387"/>
    </row>
    <row r="277" spans="1:34" ht="14.25" customHeight="1">
      <c r="A277" s="759"/>
      <c r="B277" s="764"/>
      <c r="C277" s="765"/>
      <c r="D277" s="765"/>
      <c r="E277" s="765"/>
      <c r="F277" s="765"/>
      <c r="G277" s="765"/>
      <c r="H277" s="765"/>
      <c r="I277" s="717">
        <v>0</v>
      </c>
      <c r="J277" s="717"/>
      <c r="K277" s="717"/>
      <c r="L277" s="717"/>
      <c r="M277" s="717"/>
      <c r="N277" s="717">
        <v>10</v>
      </c>
      <c r="O277" s="717"/>
      <c r="P277" s="717"/>
      <c r="Q277" s="717"/>
      <c r="R277" s="717"/>
      <c r="S277" s="717">
        <v>20</v>
      </c>
      <c r="T277" s="717"/>
      <c r="U277" s="717"/>
      <c r="V277" s="717"/>
      <c r="W277" s="717"/>
      <c r="X277" s="516"/>
      <c r="AE277" s="5"/>
      <c r="AF277" s="5"/>
      <c r="AH277" s="387"/>
    </row>
    <row r="278" spans="1:34" ht="12.75" customHeight="1">
      <c r="A278" s="737" t="s">
        <v>229</v>
      </c>
      <c r="B278" s="718" t="s">
        <v>579</v>
      </c>
      <c r="C278" s="719"/>
      <c r="D278" s="719"/>
      <c r="E278" s="719"/>
      <c r="F278" s="719"/>
      <c r="G278" s="719"/>
      <c r="H278" s="720"/>
      <c r="I278" s="755" t="s">
        <v>580</v>
      </c>
      <c r="J278" s="755"/>
      <c r="K278" s="755"/>
      <c r="L278" s="755"/>
      <c r="M278" s="755"/>
      <c r="N278" s="755" t="s">
        <v>230</v>
      </c>
      <c r="O278" s="755"/>
      <c r="P278" s="755"/>
      <c r="Q278" s="755"/>
      <c r="R278" s="755"/>
      <c r="S278" s="755" t="s">
        <v>231</v>
      </c>
      <c r="T278" s="755"/>
      <c r="U278" s="755"/>
      <c r="V278" s="755"/>
      <c r="W278" s="755"/>
      <c r="X278" s="516"/>
      <c r="AE278" s="5"/>
      <c r="AF278" s="5"/>
      <c r="AH278" s="387"/>
    </row>
    <row r="279" spans="1:34" ht="15.75" customHeight="1">
      <c r="A279" s="738"/>
      <c r="B279" s="721"/>
      <c r="C279" s="722"/>
      <c r="D279" s="722"/>
      <c r="E279" s="722"/>
      <c r="F279" s="722"/>
      <c r="G279" s="722"/>
      <c r="H279" s="723"/>
      <c r="I279" s="755"/>
      <c r="J279" s="755"/>
      <c r="K279" s="755"/>
      <c r="L279" s="755"/>
      <c r="M279" s="755"/>
      <c r="N279" s="755"/>
      <c r="O279" s="755"/>
      <c r="P279" s="755"/>
      <c r="Q279" s="755"/>
      <c r="R279" s="755"/>
      <c r="S279" s="755"/>
      <c r="T279" s="755"/>
      <c r="U279" s="755"/>
      <c r="V279" s="755"/>
      <c r="W279" s="755"/>
      <c r="X279" s="516"/>
      <c r="Y279" s="13"/>
      <c r="Z279" s="255"/>
      <c r="AA279" s="291"/>
      <c r="AB279" s="291"/>
      <c r="AC279" s="13"/>
      <c r="AD279" s="13"/>
      <c r="AE279" s="13"/>
      <c r="AF279" s="5"/>
      <c r="AH279" s="387"/>
    </row>
    <row r="280" spans="1:34" ht="12.75">
      <c r="A280" s="738"/>
      <c r="B280" s="721"/>
      <c r="C280" s="722"/>
      <c r="D280" s="722"/>
      <c r="E280" s="722"/>
      <c r="F280" s="722"/>
      <c r="G280" s="722"/>
      <c r="H280" s="723"/>
      <c r="I280" s="724">
        <f>IF(Y281=0,IF(FIO="","",0),"")</f>
      </c>
      <c r="J280" s="724"/>
      <c r="K280" s="724"/>
      <c r="L280" s="724"/>
      <c r="M280" s="724"/>
      <c r="N280" s="725"/>
      <c r="O280" s="725"/>
      <c r="P280" s="725"/>
      <c r="Q280" s="725"/>
      <c r="R280" s="725"/>
      <c r="S280" s="725"/>
      <c r="T280" s="725"/>
      <c r="U280" s="725"/>
      <c r="V280" s="725"/>
      <c r="W280" s="725"/>
      <c r="X280" s="516"/>
      <c r="Z280" s="263" t="s">
        <v>209</v>
      </c>
      <c r="AA280" s="264" t="s">
        <v>281</v>
      </c>
      <c r="AE280" s="299" t="s">
        <v>3</v>
      </c>
      <c r="AF280" s="300" t="s">
        <v>2</v>
      </c>
      <c r="AH280" s="387"/>
    </row>
    <row r="281" spans="1:34" ht="12.75">
      <c r="A281" s="739"/>
      <c r="B281" s="732"/>
      <c r="C281" s="733"/>
      <c r="D281" s="733"/>
      <c r="E281" s="733"/>
      <c r="F281" s="733"/>
      <c r="G281" s="733"/>
      <c r="H281" s="734"/>
      <c r="I281" s="724"/>
      <c r="J281" s="724"/>
      <c r="K281" s="724"/>
      <c r="L281" s="724"/>
      <c r="M281" s="724"/>
      <c r="N281" s="725"/>
      <c r="O281" s="725"/>
      <c r="P281" s="725"/>
      <c r="Q281" s="725"/>
      <c r="R281" s="725"/>
      <c r="S281" s="725"/>
      <c r="T281" s="725"/>
      <c r="U281" s="725"/>
      <c r="V281" s="725"/>
      <c r="W281" s="725"/>
      <c r="X281" s="516"/>
      <c r="Y281" s="279">
        <f>MAX(N280:W281)</f>
        <v>0</v>
      </c>
      <c r="Z281" s="265">
        <v>20</v>
      </c>
      <c r="AA281" s="282">
        <v>10</v>
      </c>
      <c r="AE281" s="297">
        <v>20</v>
      </c>
      <c r="AF281" s="298">
        <v>10</v>
      </c>
      <c r="AH281" s="387"/>
    </row>
    <row r="282" spans="1:34" ht="13.5">
      <c r="A282" s="757" t="s">
        <v>204</v>
      </c>
      <c r="B282" s="760" t="s">
        <v>205</v>
      </c>
      <c r="C282" s="761"/>
      <c r="D282" s="761"/>
      <c r="E282" s="761"/>
      <c r="F282" s="766" t="s">
        <v>206</v>
      </c>
      <c r="G282" s="767"/>
      <c r="H282" s="767"/>
      <c r="I282" s="767"/>
      <c r="J282" s="767"/>
      <c r="K282" s="767"/>
      <c r="L282" s="767"/>
      <c r="M282" s="767"/>
      <c r="N282" s="767"/>
      <c r="O282" s="767"/>
      <c r="P282" s="767"/>
      <c r="Q282" s="767"/>
      <c r="R282" s="767"/>
      <c r="S282" s="767"/>
      <c r="T282" s="767"/>
      <c r="U282" s="767"/>
      <c r="V282" s="767"/>
      <c r="W282" s="768"/>
      <c r="X282" s="516"/>
      <c r="Y282" s="13"/>
      <c r="AA282" s="13"/>
      <c r="AC282" s="13"/>
      <c r="AE282" s="328"/>
      <c r="AH282" s="530"/>
    </row>
    <row r="283" spans="1:34" ht="14.25" customHeight="1">
      <c r="A283" s="758"/>
      <c r="B283" s="762"/>
      <c r="C283" s="763"/>
      <c r="D283" s="763"/>
      <c r="E283" s="763"/>
      <c r="F283" s="769" t="s">
        <v>211</v>
      </c>
      <c r="G283" s="770"/>
      <c r="H283" s="770"/>
      <c r="I283" s="770"/>
      <c r="J283" s="770"/>
      <c r="K283" s="770"/>
      <c r="L283" s="770"/>
      <c r="M283" s="770"/>
      <c r="N283" s="770"/>
      <c r="O283" s="770"/>
      <c r="P283" s="770"/>
      <c r="Q283" s="770"/>
      <c r="R283" s="770"/>
      <c r="S283" s="770"/>
      <c r="T283" s="770"/>
      <c r="U283" s="770"/>
      <c r="V283" s="770"/>
      <c r="W283" s="771"/>
      <c r="X283" s="516"/>
      <c r="Y283" s="13"/>
      <c r="Z283" s="13"/>
      <c r="AA283" s="13"/>
      <c r="AB283" s="13"/>
      <c r="AC283" s="13"/>
      <c r="AD283" s="13"/>
      <c r="AE283" s="328"/>
      <c r="AH283" s="530"/>
    </row>
    <row r="284" spans="1:34" ht="14.25" customHeight="1">
      <c r="A284" s="759"/>
      <c r="B284" s="762"/>
      <c r="C284" s="763"/>
      <c r="D284" s="763"/>
      <c r="E284" s="763"/>
      <c r="F284" s="821">
        <v>0</v>
      </c>
      <c r="G284" s="822"/>
      <c r="H284" s="823"/>
      <c r="I284" s="818">
        <v>10</v>
      </c>
      <c r="J284" s="819"/>
      <c r="K284" s="820"/>
      <c r="L284" s="818" t="s">
        <v>269</v>
      </c>
      <c r="M284" s="819"/>
      <c r="N284" s="819"/>
      <c r="O284" s="820"/>
      <c r="P284" s="818" t="s">
        <v>539</v>
      </c>
      <c r="Q284" s="819"/>
      <c r="R284" s="819"/>
      <c r="S284" s="820"/>
      <c r="T284" s="818" t="s">
        <v>553</v>
      </c>
      <c r="U284" s="819"/>
      <c r="V284" s="819"/>
      <c r="W284" s="820"/>
      <c r="X284" s="516"/>
      <c r="Y284" s="13"/>
      <c r="Z284" s="13"/>
      <c r="AA284" s="13"/>
      <c r="AB284" s="13"/>
      <c r="AC284" s="13"/>
      <c r="AD284" s="13"/>
      <c r="AE284" s="328"/>
      <c r="AH284" s="530"/>
    </row>
    <row r="285" spans="1:34" ht="12.75" customHeight="1">
      <c r="A285" s="737" t="s">
        <v>233</v>
      </c>
      <c r="B285" s="718" t="s">
        <v>557</v>
      </c>
      <c r="C285" s="719"/>
      <c r="D285" s="719"/>
      <c r="E285" s="720"/>
      <c r="F285" s="726" t="s">
        <v>286</v>
      </c>
      <c r="G285" s="727"/>
      <c r="H285" s="728"/>
      <c r="I285" s="726" t="s">
        <v>424</v>
      </c>
      <c r="J285" s="727"/>
      <c r="K285" s="728"/>
      <c r="L285" s="726" t="s">
        <v>421</v>
      </c>
      <c r="M285" s="727"/>
      <c r="N285" s="727"/>
      <c r="O285" s="728"/>
      <c r="P285" s="726" t="s">
        <v>423</v>
      </c>
      <c r="Q285" s="727"/>
      <c r="R285" s="727"/>
      <c r="S285" s="728"/>
      <c r="T285" s="726" t="s">
        <v>422</v>
      </c>
      <c r="U285" s="727"/>
      <c r="V285" s="727"/>
      <c r="W285" s="728"/>
      <c r="X285" s="516"/>
      <c r="Y285" s="13"/>
      <c r="AA285" s="13"/>
      <c r="AB285" s="13"/>
      <c r="AC285" s="13"/>
      <c r="AH285" s="530"/>
    </row>
    <row r="286" spans="1:34" ht="12.75" customHeight="1">
      <c r="A286" s="738"/>
      <c r="B286" s="721"/>
      <c r="C286" s="722"/>
      <c r="D286" s="722"/>
      <c r="E286" s="723"/>
      <c r="F286" s="729"/>
      <c r="G286" s="730"/>
      <c r="H286" s="731"/>
      <c r="I286" s="729"/>
      <c r="J286" s="730"/>
      <c r="K286" s="731"/>
      <c r="L286" s="729"/>
      <c r="M286" s="730"/>
      <c r="N286" s="730"/>
      <c r="O286" s="731"/>
      <c r="P286" s="729"/>
      <c r="Q286" s="730"/>
      <c r="R286" s="730"/>
      <c r="S286" s="731"/>
      <c r="T286" s="729"/>
      <c r="U286" s="730"/>
      <c r="V286" s="730"/>
      <c r="W286" s="731"/>
      <c r="X286" s="516"/>
      <c r="Y286" s="13"/>
      <c r="AA286" s="13"/>
      <c r="AB286" s="13"/>
      <c r="AC286" s="13"/>
      <c r="AH286" s="530"/>
    </row>
    <row r="287" spans="1:34" ht="23.25" customHeight="1">
      <c r="A287" s="738"/>
      <c r="B287" s="721"/>
      <c r="C287" s="722"/>
      <c r="D287" s="722"/>
      <c r="E287" s="723"/>
      <c r="F287" s="729"/>
      <c r="G287" s="730"/>
      <c r="H287" s="731"/>
      <c r="I287" s="729"/>
      <c r="J287" s="730"/>
      <c r="K287" s="731"/>
      <c r="L287" s="729"/>
      <c r="M287" s="730"/>
      <c r="N287" s="730"/>
      <c r="O287" s="731"/>
      <c r="P287" s="729"/>
      <c r="Q287" s="730"/>
      <c r="R287" s="730"/>
      <c r="S287" s="731"/>
      <c r="T287" s="729"/>
      <c r="U287" s="730"/>
      <c r="V287" s="730"/>
      <c r="W287" s="731"/>
      <c r="X287" s="516"/>
      <c r="Y287" s="13"/>
      <c r="AA287" s="13"/>
      <c r="AB287" s="13"/>
      <c r="AC287" s="13"/>
      <c r="AH287" s="530"/>
    </row>
    <row r="288" spans="1:34" ht="21.75" customHeight="1">
      <c r="A288" s="738"/>
      <c r="B288" s="721"/>
      <c r="C288" s="722"/>
      <c r="D288" s="722"/>
      <c r="E288" s="723"/>
      <c r="F288" s="797"/>
      <c r="G288" s="932"/>
      <c r="H288" s="933"/>
      <c r="I288" s="830"/>
      <c r="J288" s="831"/>
      <c r="K288" s="832"/>
      <c r="L288" s="839" t="s">
        <v>292</v>
      </c>
      <c r="M288" s="840"/>
      <c r="N288" s="840"/>
      <c r="O288" s="840"/>
      <c r="P288" s="839" t="s">
        <v>294</v>
      </c>
      <c r="Q288" s="840"/>
      <c r="R288" s="840"/>
      <c r="S288" s="840"/>
      <c r="T288" s="839" t="s">
        <v>296</v>
      </c>
      <c r="U288" s="840"/>
      <c r="V288" s="840"/>
      <c r="W288" s="841"/>
      <c r="X288" s="516"/>
      <c r="Y288" s="13"/>
      <c r="AH288" s="530"/>
    </row>
    <row r="289" spans="1:34" ht="21.75" customHeight="1">
      <c r="A289" s="738"/>
      <c r="B289" s="721"/>
      <c r="C289" s="722"/>
      <c r="D289" s="722"/>
      <c r="E289" s="723"/>
      <c r="F289" s="934"/>
      <c r="G289" s="935"/>
      <c r="H289" s="936"/>
      <c r="I289" s="830"/>
      <c r="J289" s="831"/>
      <c r="K289" s="832"/>
      <c r="L289" s="875" t="s">
        <v>293</v>
      </c>
      <c r="M289" s="876"/>
      <c r="N289" s="876"/>
      <c r="O289" s="876"/>
      <c r="P289" s="875" t="s">
        <v>295</v>
      </c>
      <c r="Q289" s="876"/>
      <c r="R289" s="876"/>
      <c r="S289" s="876"/>
      <c r="T289" s="875" t="s">
        <v>285</v>
      </c>
      <c r="U289" s="876"/>
      <c r="V289" s="876"/>
      <c r="W289" s="877"/>
      <c r="X289" s="516"/>
      <c r="Y289" s="13"/>
      <c r="AH289" s="530"/>
    </row>
    <row r="290" spans="1:34" ht="12.75" customHeight="1">
      <c r="A290" s="738"/>
      <c r="B290" s="721"/>
      <c r="C290" s="722"/>
      <c r="D290" s="722"/>
      <c r="E290" s="723"/>
      <c r="F290" s="782">
        <f>IF(Y291=0,IF(FIO="","",0),"")</f>
      </c>
      <c r="G290" s="803"/>
      <c r="H290" s="804"/>
      <c r="I290" s="806"/>
      <c r="J290" s="807"/>
      <c r="K290" s="808"/>
      <c r="L290" s="725"/>
      <c r="M290" s="725"/>
      <c r="N290" s="725"/>
      <c r="O290" s="725"/>
      <c r="P290" s="725"/>
      <c r="Q290" s="725"/>
      <c r="R290" s="725"/>
      <c r="S290" s="725"/>
      <c r="T290" s="725"/>
      <c r="U290" s="725"/>
      <c r="V290" s="725"/>
      <c r="W290" s="725"/>
      <c r="X290" s="516"/>
      <c r="Z290" s="263" t="s">
        <v>209</v>
      </c>
      <c r="AA290" s="264" t="s">
        <v>281</v>
      </c>
      <c r="AE290" s="569" t="s">
        <v>3</v>
      </c>
      <c r="AF290" s="570" t="s">
        <v>2</v>
      </c>
      <c r="AH290" s="530"/>
    </row>
    <row r="291" spans="1:34" ht="12.75" customHeight="1">
      <c r="A291" s="739"/>
      <c r="B291" s="1023" t="s">
        <v>315</v>
      </c>
      <c r="C291" s="1024"/>
      <c r="D291" s="1024"/>
      <c r="E291" s="1025"/>
      <c r="F291" s="800"/>
      <c r="G291" s="801"/>
      <c r="H291" s="802"/>
      <c r="I291" s="809"/>
      <c r="J291" s="810"/>
      <c r="K291" s="811"/>
      <c r="L291" s="725"/>
      <c r="M291" s="725"/>
      <c r="N291" s="725"/>
      <c r="O291" s="725"/>
      <c r="P291" s="725"/>
      <c r="Q291" s="725"/>
      <c r="R291" s="725"/>
      <c r="S291" s="725"/>
      <c r="T291" s="725"/>
      <c r="U291" s="725"/>
      <c r="V291" s="725"/>
      <c r="W291" s="725"/>
      <c r="X291" s="516"/>
      <c r="Y291" s="279">
        <f>SUM(I290:W291)</f>
        <v>0</v>
      </c>
      <c r="Z291" s="265">
        <v>100</v>
      </c>
      <c r="AA291" s="282">
        <f>IF(z_kateg="высшая",AE291,AF291)</f>
        <v>10</v>
      </c>
      <c r="AE291" s="571">
        <v>20</v>
      </c>
      <c r="AF291" s="572">
        <v>10</v>
      </c>
      <c r="AH291" s="530"/>
    </row>
    <row r="292" spans="1:34" ht="12.75" customHeight="1">
      <c r="A292" s="737" t="s">
        <v>234</v>
      </c>
      <c r="B292" s="718" t="s">
        <v>554</v>
      </c>
      <c r="C292" s="719"/>
      <c r="D292" s="719"/>
      <c r="E292" s="720"/>
      <c r="F292" s="726" t="s">
        <v>286</v>
      </c>
      <c r="G292" s="727"/>
      <c r="H292" s="728"/>
      <c r="I292" s="726" t="s">
        <v>424</v>
      </c>
      <c r="J292" s="727"/>
      <c r="K292" s="728"/>
      <c r="L292" s="726" t="s">
        <v>555</v>
      </c>
      <c r="M292" s="727"/>
      <c r="N292" s="727"/>
      <c r="O292" s="728"/>
      <c r="P292" s="726" t="s">
        <v>423</v>
      </c>
      <c r="Q292" s="727"/>
      <c r="R292" s="727"/>
      <c r="S292" s="728"/>
      <c r="T292" s="726" t="s">
        <v>556</v>
      </c>
      <c r="U292" s="727"/>
      <c r="V292" s="727"/>
      <c r="W292" s="728"/>
      <c r="X292" s="516"/>
      <c r="Y292" s="13"/>
      <c r="AA292" s="13"/>
      <c r="AB292" s="13"/>
      <c r="AC292" s="13"/>
      <c r="AH292" s="530"/>
    </row>
    <row r="293" spans="1:34" ht="15.75" customHeight="1">
      <c r="A293" s="738"/>
      <c r="B293" s="721"/>
      <c r="C293" s="722"/>
      <c r="D293" s="722"/>
      <c r="E293" s="723"/>
      <c r="F293" s="729"/>
      <c r="G293" s="730"/>
      <c r="H293" s="731"/>
      <c r="I293" s="729"/>
      <c r="J293" s="730"/>
      <c r="K293" s="731"/>
      <c r="L293" s="729"/>
      <c r="M293" s="730"/>
      <c r="N293" s="730"/>
      <c r="O293" s="731"/>
      <c r="P293" s="729"/>
      <c r="Q293" s="730"/>
      <c r="R293" s="730"/>
      <c r="S293" s="731"/>
      <c r="T293" s="729"/>
      <c r="U293" s="730"/>
      <c r="V293" s="730"/>
      <c r="W293" s="731"/>
      <c r="X293" s="516"/>
      <c r="Y293" s="13"/>
      <c r="AA293" s="13"/>
      <c r="AB293" s="13"/>
      <c r="AC293" s="13"/>
      <c r="AH293" s="530"/>
    </row>
    <row r="294" spans="1:34" ht="3" customHeight="1">
      <c r="A294" s="738"/>
      <c r="B294" s="721"/>
      <c r="C294" s="722"/>
      <c r="D294" s="722"/>
      <c r="E294" s="723"/>
      <c r="F294" s="729"/>
      <c r="G294" s="730"/>
      <c r="H294" s="731"/>
      <c r="I294" s="729"/>
      <c r="J294" s="730"/>
      <c r="K294" s="731"/>
      <c r="L294" s="729"/>
      <c r="M294" s="730"/>
      <c r="N294" s="730"/>
      <c r="O294" s="731"/>
      <c r="P294" s="729"/>
      <c r="Q294" s="730"/>
      <c r="R294" s="730"/>
      <c r="S294" s="731"/>
      <c r="T294" s="729"/>
      <c r="U294" s="730"/>
      <c r="V294" s="730"/>
      <c r="W294" s="731"/>
      <c r="X294" s="516"/>
      <c r="Y294" s="13"/>
      <c r="AA294" s="13"/>
      <c r="AB294" s="13"/>
      <c r="AC294" s="13"/>
      <c r="AH294" s="530"/>
    </row>
    <row r="295" spans="1:34" ht="12.75" customHeight="1">
      <c r="A295" s="738"/>
      <c r="B295" s="721"/>
      <c r="C295" s="722"/>
      <c r="D295" s="722"/>
      <c r="E295" s="723"/>
      <c r="F295" s="797"/>
      <c r="G295" s="932"/>
      <c r="H295" s="933"/>
      <c r="I295" s="830"/>
      <c r="J295" s="831"/>
      <c r="K295" s="832"/>
      <c r="L295" s="839" t="s">
        <v>297</v>
      </c>
      <c r="M295" s="840"/>
      <c r="N295" s="840"/>
      <c r="O295" s="841"/>
      <c r="P295" s="839" t="s">
        <v>298</v>
      </c>
      <c r="Q295" s="840"/>
      <c r="R295" s="840"/>
      <c r="S295" s="841"/>
      <c r="T295" s="839" t="s">
        <v>429</v>
      </c>
      <c r="U295" s="840"/>
      <c r="V295" s="840"/>
      <c r="W295" s="841"/>
      <c r="X295" s="516"/>
      <c r="Y295" s="13"/>
      <c r="AH295" s="530"/>
    </row>
    <row r="296" spans="1:34" ht="15.75" customHeight="1">
      <c r="A296" s="738"/>
      <c r="B296" s="721"/>
      <c r="C296" s="722"/>
      <c r="D296" s="722"/>
      <c r="E296" s="723"/>
      <c r="F296" s="934"/>
      <c r="G296" s="935"/>
      <c r="H296" s="936"/>
      <c r="I296" s="830"/>
      <c r="J296" s="831"/>
      <c r="K296" s="832"/>
      <c r="L296" s="875" t="s">
        <v>293</v>
      </c>
      <c r="M296" s="876"/>
      <c r="N296" s="876"/>
      <c r="O296" s="877"/>
      <c r="P296" s="875" t="s">
        <v>428</v>
      </c>
      <c r="Q296" s="876"/>
      <c r="R296" s="876"/>
      <c r="S296" s="877"/>
      <c r="T296" s="875" t="s">
        <v>430</v>
      </c>
      <c r="U296" s="876"/>
      <c r="V296" s="876"/>
      <c r="W296" s="877"/>
      <c r="X296" s="516"/>
      <c r="Y296" s="13"/>
      <c r="AH296" s="530"/>
    </row>
    <row r="297" spans="1:34" ht="12.75" customHeight="1">
      <c r="A297" s="738"/>
      <c r="B297" s="791" t="str">
        <f>B291</f>
        <v>(далее – Прил. № 4)</v>
      </c>
      <c r="C297" s="792"/>
      <c r="D297" s="792"/>
      <c r="E297" s="793"/>
      <c r="F297" s="782">
        <f>IF(Y298=0,IF(FIO="","",0),"")</f>
      </c>
      <c r="G297" s="803"/>
      <c r="H297" s="804"/>
      <c r="I297" s="806"/>
      <c r="J297" s="807"/>
      <c r="K297" s="808"/>
      <c r="L297" s="806"/>
      <c r="M297" s="807"/>
      <c r="N297" s="807"/>
      <c r="O297" s="808"/>
      <c r="P297" s="806"/>
      <c r="Q297" s="807"/>
      <c r="R297" s="807"/>
      <c r="S297" s="808"/>
      <c r="T297" s="806"/>
      <c r="U297" s="807"/>
      <c r="V297" s="807"/>
      <c r="W297" s="808"/>
      <c r="X297" s="516"/>
      <c r="Z297" s="263" t="s">
        <v>209</v>
      </c>
      <c r="AA297" s="264" t="s">
        <v>281</v>
      </c>
      <c r="AE297" s="569" t="s">
        <v>3</v>
      </c>
      <c r="AF297" s="570" t="s">
        <v>2</v>
      </c>
      <c r="AH297" s="530"/>
    </row>
    <row r="298" spans="1:34" ht="12.75" customHeight="1">
      <c r="A298" s="739"/>
      <c r="B298" s="794"/>
      <c r="C298" s="795"/>
      <c r="D298" s="795"/>
      <c r="E298" s="796"/>
      <c r="F298" s="800"/>
      <c r="G298" s="801"/>
      <c r="H298" s="802"/>
      <c r="I298" s="809"/>
      <c r="J298" s="810"/>
      <c r="K298" s="811"/>
      <c r="L298" s="809"/>
      <c r="M298" s="810"/>
      <c r="N298" s="810"/>
      <c r="O298" s="811"/>
      <c r="P298" s="809"/>
      <c r="Q298" s="810"/>
      <c r="R298" s="810"/>
      <c r="S298" s="811"/>
      <c r="T298" s="809"/>
      <c r="U298" s="810"/>
      <c r="V298" s="810"/>
      <c r="W298" s="811"/>
      <c r="X298" s="516"/>
      <c r="Y298" s="279">
        <f>SUM(I297:W298)</f>
        <v>0</v>
      </c>
      <c r="Z298" s="265">
        <v>120</v>
      </c>
      <c r="AA298" s="282">
        <f>IF(z_kateg="высшая",AE298,AF298)</f>
        <v>10</v>
      </c>
      <c r="AE298" s="571">
        <v>20</v>
      </c>
      <c r="AF298" s="572">
        <v>10</v>
      </c>
      <c r="AH298" s="530"/>
    </row>
    <row r="299" spans="1:34" ht="12.75" customHeight="1">
      <c r="A299" s="1020" t="s">
        <v>235</v>
      </c>
      <c r="B299" s="718" t="s">
        <v>480</v>
      </c>
      <c r="C299" s="719"/>
      <c r="D299" s="719"/>
      <c r="E299" s="720"/>
      <c r="F299" s="726" t="s">
        <v>286</v>
      </c>
      <c r="G299" s="727"/>
      <c r="H299" s="728"/>
      <c r="I299" s="726" t="s">
        <v>424</v>
      </c>
      <c r="J299" s="727"/>
      <c r="K299" s="728"/>
      <c r="L299" s="726" t="s">
        <v>421</v>
      </c>
      <c r="M299" s="727"/>
      <c r="N299" s="727"/>
      <c r="O299" s="728"/>
      <c r="P299" s="726" t="s">
        <v>423</v>
      </c>
      <c r="Q299" s="727"/>
      <c r="R299" s="727"/>
      <c r="S299" s="728"/>
      <c r="T299" s="726" t="s">
        <v>422</v>
      </c>
      <c r="U299" s="727"/>
      <c r="V299" s="727"/>
      <c r="W299" s="728"/>
      <c r="X299" s="516"/>
      <c r="Y299" s="13"/>
      <c r="AA299" s="13"/>
      <c r="AB299" s="13"/>
      <c r="AC299" s="13"/>
      <c r="AH299" s="530"/>
    </row>
    <row r="300" spans="1:34" ht="12.75" customHeight="1">
      <c r="A300" s="1021"/>
      <c r="B300" s="721"/>
      <c r="C300" s="722"/>
      <c r="D300" s="722"/>
      <c r="E300" s="723"/>
      <c r="F300" s="729"/>
      <c r="G300" s="730"/>
      <c r="H300" s="731"/>
      <c r="I300" s="729"/>
      <c r="J300" s="730"/>
      <c r="K300" s="731"/>
      <c r="L300" s="729"/>
      <c r="M300" s="730"/>
      <c r="N300" s="730"/>
      <c r="O300" s="731"/>
      <c r="P300" s="729"/>
      <c r="Q300" s="730"/>
      <c r="R300" s="730"/>
      <c r="S300" s="731"/>
      <c r="T300" s="729"/>
      <c r="U300" s="730"/>
      <c r="V300" s="730"/>
      <c r="W300" s="731"/>
      <c r="X300" s="516"/>
      <c r="Y300" s="13"/>
      <c r="AA300" s="13"/>
      <c r="AB300" s="13"/>
      <c r="AC300" s="13"/>
      <c r="AH300" s="530"/>
    </row>
    <row r="301" spans="1:34" ht="15" customHeight="1">
      <c r="A301" s="1021"/>
      <c r="B301" s="721"/>
      <c r="C301" s="722"/>
      <c r="D301" s="722"/>
      <c r="E301" s="723"/>
      <c r="F301" s="729"/>
      <c r="G301" s="730"/>
      <c r="H301" s="731"/>
      <c r="I301" s="729"/>
      <c r="J301" s="730"/>
      <c r="K301" s="731"/>
      <c r="L301" s="729"/>
      <c r="M301" s="730"/>
      <c r="N301" s="730"/>
      <c r="O301" s="731"/>
      <c r="P301" s="729"/>
      <c r="Q301" s="730"/>
      <c r="R301" s="730"/>
      <c r="S301" s="731"/>
      <c r="T301" s="729"/>
      <c r="U301" s="730"/>
      <c r="V301" s="730"/>
      <c r="W301" s="731"/>
      <c r="X301" s="516"/>
      <c r="Y301" s="13"/>
      <c r="AA301" s="13"/>
      <c r="AB301" s="13"/>
      <c r="AC301" s="13"/>
      <c r="AH301" s="530"/>
    </row>
    <row r="302" spans="1:34" ht="13.5" customHeight="1">
      <c r="A302" s="1021"/>
      <c r="B302" s="721"/>
      <c r="C302" s="722"/>
      <c r="D302" s="722"/>
      <c r="E302" s="723"/>
      <c r="F302" s="797"/>
      <c r="G302" s="932"/>
      <c r="H302" s="933"/>
      <c r="I302" s="830"/>
      <c r="J302" s="831"/>
      <c r="K302" s="832"/>
      <c r="L302" s="839" t="s">
        <v>299</v>
      </c>
      <c r="M302" s="840"/>
      <c r="N302" s="840"/>
      <c r="O302" s="841"/>
      <c r="P302" s="839" t="s">
        <v>300</v>
      </c>
      <c r="Q302" s="840"/>
      <c r="R302" s="840"/>
      <c r="S302" s="841"/>
      <c r="T302" s="839" t="s">
        <v>301</v>
      </c>
      <c r="U302" s="840"/>
      <c r="V302" s="840"/>
      <c r="W302" s="841"/>
      <c r="X302" s="516"/>
      <c r="Y302" s="13"/>
      <c r="AH302" s="530"/>
    </row>
    <row r="303" spans="1:34" ht="15" customHeight="1">
      <c r="A303" s="1021"/>
      <c r="B303" s="721"/>
      <c r="C303" s="722"/>
      <c r="D303" s="722"/>
      <c r="E303" s="723"/>
      <c r="F303" s="934"/>
      <c r="G303" s="935"/>
      <c r="H303" s="936"/>
      <c r="I303" s="830"/>
      <c r="J303" s="831"/>
      <c r="K303" s="832"/>
      <c r="L303" s="875" t="s">
        <v>293</v>
      </c>
      <c r="M303" s="876"/>
      <c r="N303" s="876"/>
      <c r="O303" s="877"/>
      <c r="P303" s="875" t="s">
        <v>295</v>
      </c>
      <c r="Q303" s="876"/>
      <c r="R303" s="876"/>
      <c r="S303" s="877"/>
      <c r="T303" s="875" t="s">
        <v>285</v>
      </c>
      <c r="U303" s="876"/>
      <c r="V303" s="876"/>
      <c r="W303" s="877"/>
      <c r="X303" s="516"/>
      <c r="Y303" s="13"/>
      <c r="AH303" s="530"/>
    </row>
    <row r="304" spans="1:34" ht="12.75" customHeight="1">
      <c r="A304" s="1021"/>
      <c r="B304" s="721"/>
      <c r="C304" s="722"/>
      <c r="D304" s="722"/>
      <c r="E304" s="723"/>
      <c r="F304" s="782">
        <f>IF(Y305=0,IF(FIO="","",0),"")</f>
      </c>
      <c r="G304" s="803"/>
      <c r="H304" s="804"/>
      <c r="I304" s="806"/>
      <c r="J304" s="807"/>
      <c r="K304" s="808"/>
      <c r="L304" s="806"/>
      <c r="M304" s="807"/>
      <c r="N304" s="807"/>
      <c r="O304" s="808"/>
      <c r="P304" s="806"/>
      <c r="Q304" s="807"/>
      <c r="R304" s="807"/>
      <c r="S304" s="808"/>
      <c r="T304" s="806"/>
      <c r="U304" s="807"/>
      <c r="V304" s="807"/>
      <c r="W304" s="808"/>
      <c r="X304" s="516"/>
      <c r="Z304" s="263" t="s">
        <v>209</v>
      </c>
      <c r="AA304" s="264" t="s">
        <v>281</v>
      </c>
      <c r="AE304" s="569" t="s">
        <v>3</v>
      </c>
      <c r="AF304" s="570" t="s">
        <v>2</v>
      </c>
      <c r="AH304" s="530"/>
    </row>
    <row r="305" spans="1:34" ht="12.75" customHeight="1">
      <c r="A305" s="1022"/>
      <c r="B305" s="794" t="str">
        <f>B291</f>
        <v>(далее – Прил. № 4)</v>
      </c>
      <c r="C305" s="795"/>
      <c r="D305" s="795"/>
      <c r="E305" s="796"/>
      <c r="F305" s="800"/>
      <c r="G305" s="801"/>
      <c r="H305" s="802"/>
      <c r="I305" s="809"/>
      <c r="J305" s="810"/>
      <c r="K305" s="811"/>
      <c r="L305" s="809"/>
      <c r="M305" s="810"/>
      <c r="N305" s="810"/>
      <c r="O305" s="811"/>
      <c r="P305" s="809"/>
      <c r="Q305" s="810"/>
      <c r="R305" s="810"/>
      <c r="S305" s="811"/>
      <c r="T305" s="809"/>
      <c r="U305" s="810"/>
      <c r="V305" s="810"/>
      <c r="W305" s="811"/>
      <c r="X305" s="516"/>
      <c r="Y305" s="279">
        <f>SUM(I304:W305)</f>
        <v>0</v>
      </c>
      <c r="Z305" s="265">
        <v>100</v>
      </c>
      <c r="AA305" s="282">
        <f>IF(z_kateg="высшая",AE305,AF305)</f>
        <v>0</v>
      </c>
      <c r="AE305" s="571">
        <v>10</v>
      </c>
      <c r="AF305" s="572">
        <v>0</v>
      </c>
      <c r="AH305" s="530"/>
    </row>
    <row r="306" spans="1:34" ht="13.5">
      <c r="A306" s="757" t="s">
        <v>204</v>
      </c>
      <c r="B306" s="760" t="s">
        <v>205</v>
      </c>
      <c r="C306" s="761"/>
      <c r="D306" s="761"/>
      <c r="E306" s="761"/>
      <c r="F306" s="766" t="s">
        <v>206</v>
      </c>
      <c r="G306" s="767"/>
      <c r="H306" s="767"/>
      <c r="I306" s="767"/>
      <c r="J306" s="767"/>
      <c r="K306" s="767"/>
      <c r="L306" s="767"/>
      <c r="M306" s="767"/>
      <c r="N306" s="767"/>
      <c r="O306" s="767"/>
      <c r="P306" s="767"/>
      <c r="Q306" s="767"/>
      <c r="R306" s="767"/>
      <c r="S306" s="767"/>
      <c r="T306" s="767"/>
      <c r="U306" s="767"/>
      <c r="V306" s="767"/>
      <c r="W306" s="768"/>
      <c r="X306" s="516"/>
      <c r="Y306" s="13"/>
      <c r="AH306" s="530"/>
    </row>
    <row r="307" spans="1:34" ht="12.75" customHeight="1">
      <c r="A307" s="758"/>
      <c r="B307" s="762"/>
      <c r="C307" s="763"/>
      <c r="D307" s="763"/>
      <c r="E307" s="763"/>
      <c r="F307" s="769" t="s">
        <v>211</v>
      </c>
      <c r="G307" s="770"/>
      <c r="H307" s="770"/>
      <c r="I307" s="770"/>
      <c r="J307" s="770"/>
      <c r="K307" s="770"/>
      <c r="L307" s="770"/>
      <c r="M307" s="770"/>
      <c r="N307" s="770"/>
      <c r="O307" s="770"/>
      <c r="P307" s="770"/>
      <c r="Q307" s="770"/>
      <c r="R307" s="770"/>
      <c r="S307" s="770"/>
      <c r="T307" s="770"/>
      <c r="U307" s="770"/>
      <c r="V307" s="770"/>
      <c r="W307" s="771"/>
      <c r="X307" s="516"/>
      <c r="AH307" s="530"/>
    </row>
    <row r="308" spans="1:34" ht="12.75" customHeight="1">
      <c r="A308" s="759"/>
      <c r="B308" s="764"/>
      <c r="C308" s="765"/>
      <c r="D308" s="765"/>
      <c r="E308" s="765"/>
      <c r="F308" s="717">
        <v>0</v>
      </c>
      <c r="G308" s="717"/>
      <c r="H308" s="717"/>
      <c r="I308" s="717">
        <v>10</v>
      </c>
      <c r="J308" s="717"/>
      <c r="K308" s="717"/>
      <c r="L308" s="717"/>
      <c r="M308" s="717"/>
      <c r="N308" s="717"/>
      <c r="O308" s="717"/>
      <c r="P308" s="821" t="s">
        <v>269</v>
      </c>
      <c r="Q308" s="822"/>
      <c r="R308" s="822"/>
      <c r="S308" s="822"/>
      <c r="T308" s="822"/>
      <c r="U308" s="822"/>
      <c r="V308" s="822"/>
      <c r="W308" s="823"/>
      <c r="X308" s="516"/>
      <c r="AH308" s="530"/>
    </row>
    <row r="309" spans="1:34" ht="15" customHeight="1">
      <c r="A309" s="737" t="s">
        <v>236</v>
      </c>
      <c r="B309" s="718" t="s">
        <v>558</v>
      </c>
      <c r="C309" s="719"/>
      <c r="D309" s="719"/>
      <c r="E309" s="720"/>
      <c r="F309" s="923" t="s">
        <v>302</v>
      </c>
      <c r="G309" s="923"/>
      <c r="H309" s="923"/>
      <c r="I309" s="923" t="s">
        <v>431</v>
      </c>
      <c r="J309" s="923"/>
      <c r="K309" s="923"/>
      <c r="L309" s="923"/>
      <c r="M309" s="923"/>
      <c r="N309" s="923"/>
      <c r="O309" s="923"/>
      <c r="P309" s="726" t="s">
        <v>455</v>
      </c>
      <c r="Q309" s="727"/>
      <c r="R309" s="727"/>
      <c r="S309" s="727"/>
      <c r="T309" s="727"/>
      <c r="U309" s="727"/>
      <c r="V309" s="727"/>
      <c r="W309" s="728"/>
      <c r="X309" s="516"/>
      <c r="Y309" s="13"/>
      <c r="AH309" s="530"/>
    </row>
    <row r="310" spans="1:34" ht="15" customHeight="1">
      <c r="A310" s="738"/>
      <c r="B310" s="721"/>
      <c r="C310" s="722"/>
      <c r="D310" s="722"/>
      <c r="E310" s="723"/>
      <c r="F310" s="923"/>
      <c r="G310" s="923"/>
      <c r="H310" s="923"/>
      <c r="I310" s="923"/>
      <c r="J310" s="923"/>
      <c r="K310" s="923"/>
      <c r="L310" s="923"/>
      <c r="M310" s="923"/>
      <c r="N310" s="923"/>
      <c r="O310" s="923"/>
      <c r="P310" s="729"/>
      <c r="Q310" s="730"/>
      <c r="R310" s="730"/>
      <c r="S310" s="730"/>
      <c r="T310" s="730"/>
      <c r="U310" s="730"/>
      <c r="V310" s="730"/>
      <c r="W310" s="731"/>
      <c r="X310" s="516"/>
      <c r="Y310" s="13"/>
      <c r="AH310" s="530"/>
    </row>
    <row r="311" spans="1:34" ht="15" customHeight="1">
      <c r="A311" s="738"/>
      <c r="B311" s="721"/>
      <c r="C311" s="722"/>
      <c r="D311" s="722"/>
      <c r="E311" s="723"/>
      <c r="F311" s="923"/>
      <c r="G311" s="923"/>
      <c r="H311" s="923"/>
      <c r="I311" s="923"/>
      <c r="J311" s="923"/>
      <c r="K311" s="923"/>
      <c r="L311" s="923"/>
      <c r="M311" s="923"/>
      <c r="N311" s="923"/>
      <c r="O311" s="923"/>
      <c r="P311" s="729"/>
      <c r="Q311" s="730"/>
      <c r="R311" s="730"/>
      <c r="S311" s="730"/>
      <c r="T311" s="730"/>
      <c r="U311" s="730"/>
      <c r="V311" s="730"/>
      <c r="W311" s="731"/>
      <c r="X311" s="516"/>
      <c r="Y311" s="13"/>
      <c r="AH311" s="530"/>
    </row>
    <row r="312" spans="1:34" ht="15" customHeight="1">
      <c r="A312" s="738"/>
      <c r="B312" s="721"/>
      <c r="C312" s="722"/>
      <c r="D312" s="722"/>
      <c r="E312" s="723"/>
      <c r="F312" s="923"/>
      <c r="G312" s="923"/>
      <c r="H312" s="923"/>
      <c r="I312" s="923"/>
      <c r="J312" s="923"/>
      <c r="K312" s="923"/>
      <c r="L312" s="923"/>
      <c r="M312" s="923"/>
      <c r="N312" s="923"/>
      <c r="O312" s="923"/>
      <c r="P312" s="729"/>
      <c r="Q312" s="730"/>
      <c r="R312" s="730"/>
      <c r="S312" s="730"/>
      <c r="T312" s="730"/>
      <c r="U312" s="730"/>
      <c r="V312" s="730"/>
      <c r="W312" s="731"/>
      <c r="X312" s="516"/>
      <c r="Y312" s="13"/>
      <c r="AH312" s="530"/>
    </row>
    <row r="313" spans="1:34" ht="0.75" customHeight="1">
      <c r="A313" s="738"/>
      <c r="B313" s="721"/>
      <c r="C313" s="722"/>
      <c r="D313" s="722"/>
      <c r="E313" s="723"/>
      <c r="F313" s="923"/>
      <c r="G313" s="923"/>
      <c r="H313" s="923"/>
      <c r="I313" s="923"/>
      <c r="J313" s="923"/>
      <c r="K313" s="923"/>
      <c r="L313" s="923"/>
      <c r="M313" s="923"/>
      <c r="N313" s="923"/>
      <c r="O313" s="923"/>
      <c r="P313" s="740"/>
      <c r="Q313" s="741"/>
      <c r="R313" s="741"/>
      <c r="S313" s="741"/>
      <c r="T313" s="741"/>
      <c r="U313" s="741"/>
      <c r="V313" s="741"/>
      <c r="W313" s="742"/>
      <c r="X313" s="516"/>
      <c r="Y313" s="13"/>
      <c r="AH313" s="530"/>
    </row>
    <row r="314" spans="1:34" ht="12.75" customHeight="1">
      <c r="A314" s="738"/>
      <c r="B314" s="791" t="str">
        <f>B291</f>
        <v>(далее – Прил. № 4)</v>
      </c>
      <c r="C314" s="792"/>
      <c r="D314" s="792"/>
      <c r="E314" s="793"/>
      <c r="F314" s="782">
        <f>IF(Y315=0,IF(FIO="","",0),"")</f>
      </c>
      <c r="G314" s="803"/>
      <c r="H314" s="804"/>
      <c r="I314" s="725"/>
      <c r="J314" s="725"/>
      <c r="K314" s="725"/>
      <c r="L314" s="725"/>
      <c r="M314" s="725"/>
      <c r="N314" s="725"/>
      <c r="O314" s="725"/>
      <c r="P314" s="806"/>
      <c r="Q314" s="807"/>
      <c r="R314" s="807"/>
      <c r="S314" s="807"/>
      <c r="T314" s="807"/>
      <c r="U314" s="807"/>
      <c r="V314" s="807"/>
      <c r="W314" s="808"/>
      <c r="X314" s="516"/>
      <c r="Z314" s="263" t="s">
        <v>209</v>
      </c>
      <c r="AA314" s="264" t="s">
        <v>281</v>
      </c>
      <c r="AE314" s="569" t="s">
        <v>3</v>
      </c>
      <c r="AF314" s="570" t="s">
        <v>2</v>
      </c>
      <c r="AH314" s="530"/>
    </row>
    <row r="315" spans="1:34" ht="12.75" customHeight="1">
      <c r="A315" s="739"/>
      <c r="B315" s="794"/>
      <c r="C315" s="795"/>
      <c r="D315" s="795"/>
      <c r="E315" s="796"/>
      <c r="F315" s="800"/>
      <c r="G315" s="801"/>
      <c r="H315" s="802"/>
      <c r="I315" s="725"/>
      <c r="J315" s="725"/>
      <c r="K315" s="725"/>
      <c r="L315" s="725"/>
      <c r="M315" s="725"/>
      <c r="N315" s="725"/>
      <c r="O315" s="725"/>
      <c r="P315" s="809"/>
      <c r="Q315" s="810"/>
      <c r="R315" s="810"/>
      <c r="S315" s="810"/>
      <c r="T315" s="810"/>
      <c r="U315" s="810"/>
      <c r="V315" s="810"/>
      <c r="W315" s="811"/>
      <c r="X315" s="516"/>
      <c r="Y315" s="279">
        <f>SUM(I314:W315)</f>
        <v>0</v>
      </c>
      <c r="Z315" s="265">
        <v>30</v>
      </c>
      <c r="AA315" s="282">
        <f>IF(z_kateg="высшая",AE315,AF315)</f>
        <v>20</v>
      </c>
      <c r="AE315" s="571">
        <v>20</v>
      </c>
      <c r="AF315" s="572">
        <v>20</v>
      </c>
      <c r="AH315" s="530"/>
    </row>
    <row r="316" spans="1:34" ht="13.5">
      <c r="A316" s="757" t="s">
        <v>204</v>
      </c>
      <c r="B316" s="760" t="s">
        <v>205</v>
      </c>
      <c r="C316" s="761"/>
      <c r="D316" s="761"/>
      <c r="E316" s="862"/>
      <c r="F316" s="766" t="s">
        <v>216</v>
      </c>
      <c r="G316" s="767"/>
      <c r="H316" s="767"/>
      <c r="I316" s="767"/>
      <c r="J316" s="767"/>
      <c r="K316" s="767"/>
      <c r="L316" s="767"/>
      <c r="M316" s="767"/>
      <c r="N316" s="767"/>
      <c r="O316" s="767"/>
      <c r="P316" s="767"/>
      <c r="Q316" s="767"/>
      <c r="R316" s="767"/>
      <c r="S316" s="767"/>
      <c r="T316" s="767"/>
      <c r="U316" s="767"/>
      <c r="V316" s="767"/>
      <c r="W316" s="768"/>
      <c r="X316" s="516"/>
      <c r="Z316" s="219"/>
      <c r="AA316" s="219"/>
      <c r="AH316" s="530"/>
    </row>
    <row r="317" spans="1:34" ht="14.25" customHeight="1">
      <c r="A317" s="758"/>
      <c r="B317" s="762"/>
      <c r="C317" s="763"/>
      <c r="D317" s="763"/>
      <c r="E317" s="863"/>
      <c r="F317" s="769" t="s">
        <v>211</v>
      </c>
      <c r="G317" s="770"/>
      <c r="H317" s="770"/>
      <c r="I317" s="770"/>
      <c r="J317" s="770"/>
      <c r="K317" s="770"/>
      <c r="L317" s="770"/>
      <c r="M317" s="770"/>
      <c r="N317" s="770"/>
      <c r="O317" s="770"/>
      <c r="P317" s="770"/>
      <c r="Q317" s="770"/>
      <c r="R317" s="770"/>
      <c r="S317" s="770"/>
      <c r="T317" s="770"/>
      <c r="U317" s="770"/>
      <c r="V317" s="770"/>
      <c r="W317" s="771"/>
      <c r="X317" s="516"/>
      <c r="AH317" s="530"/>
    </row>
    <row r="318" spans="1:34" ht="14.25" customHeight="1">
      <c r="A318" s="759"/>
      <c r="B318" s="764"/>
      <c r="C318" s="765"/>
      <c r="D318" s="765"/>
      <c r="E318" s="864"/>
      <c r="F318" s="717">
        <v>0</v>
      </c>
      <c r="G318" s="717"/>
      <c r="H318" s="717"/>
      <c r="I318" s="821">
        <v>10</v>
      </c>
      <c r="J318" s="822"/>
      <c r="K318" s="823"/>
      <c r="L318" s="821">
        <v>10</v>
      </c>
      <c r="M318" s="822"/>
      <c r="N318" s="822"/>
      <c r="O318" s="823"/>
      <c r="P318" s="821">
        <v>20</v>
      </c>
      <c r="Q318" s="822"/>
      <c r="R318" s="822"/>
      <c r="S318" s="823"/>
      <c r="T318" s="821">
        <v>20</v>
      </c>
      <c r="U318" s="822"/>
      <c r="V318" s="822"/>
      <c r="W318" s="823"/>
      <c r="X318" s="516"/>
      <c r="AH318" s="530"/>
    </row>
    <row r="319" spans="1:34" ht="15" customHeight="1">
      <c r="A319" s="737" t="s">
        <v>237</v>
      </c>
      <c r="B319" s="718" t="s">
        <v>434</v>
      </c>
      <c r="C319" s="719"/>
      <c r="D319" s="719"/>
      <c r="E319" s="720"/>
      <c r="F319" s="755" t="s">
        <v>286</v>
      </c>
      <c r="G319" s="755"/>
      <c r="H319" s="755"/>
      <c r="I319" s="824" t="s">
        <v>433</v>
      </c>
      <c r="J319" s="825"/>
      <c r="K319" s="826"/>
      <c r="L319" s="824" t="s">
        <v>537</v>
      </c>
      <c r="M319" s="825"/>
      <c r="N319" s="825"/>
      <c r="O319" s="826"/>
      <c r="P319" s="824" t="s">
        <v>423</v>
      </c>
      <c r="Q319" s="825"/>
      <c r="R319" s="825"/>
      <c r="S319" s="826"/>
      <c r="T319" s="824" t="s">
        <v>422</v>
      </c>
      <c r="U319" s="825"/>
      <c r="V319" s="825"/>
      <c r="W319" s="826"/>
      <c r="X319" s="516"/>
      <c r="AH319" s="530"/>
    </row>
    <row r="320" spans="1:34" ht="15" customHeight="1">
      <c r="A320" s="738"/>
      <c r="B320" s="721"/>
      <c r="C320" s="722"/>
      <c r="D320" s="722"/>
      <c r="E320" s="723"/>
      <c r="F320" s="755"/>
      <c r="G320" s="755"/>
      <c r="H320" s="755"/>
      <c r="I320" s="827"/>
      <c r="J320" s="828"/>
      <c r="K320" s="829"/>
      <c r="L320" s="827"/>
      <c r="M320" s="828"/>
      <c r="N320" s="828"/>
      <c r="O320" s="829"/>
      <c r="P320" s="827"/>
      <c r="Q320" s="828"/>
      <c r="R320" s="828"/>
      <c r="S320" s="829"/>
      <c r="T320" s="827"/>
      <c r="U320" s="828"/>
      <c r="V320" s="828"/>
      <c r="W320" s="829"/>
      <c r="X320" s="516"/>
      <c r="AB320" s="286"/>
      <c r="AC320" s="286"/>
      <c r="AD320" s="286"/>
      <c r="AH320" s="530"/>
    </row>
    <row r="321" spans="1:34" ht="15" customHeight="1">
      <c r="A321" s="738"/>
      <c r="B321" s="721"/>
      <c r="C321" s="722"/>
      <c r="D321" s="722"/>
      <c r="E321" s="723"/>
      <c r="F321" s="755"/>
      <c r="G321" s="755"/>
      <c r="H321" s="755"/>
      <c r="I321" s="926"/>
      <c r="J321" s="927"/>
      <c r="K321" s="928"/>
      <c r="L321" s="827"/>
      <c r="M321" s="828"/>
      <c r="N321" s="828"/>
      <c r="O321" s="829"/>
      <c r="P321" s="827"/>
      <c r="Q321" s="828"/>
      <c r="R321" s="828"/>
      <c r="S321" s="829"/>
      <c r="T321" s="827"/>
      <c r="U321" s="828"/>
      <c r="V321" s="828"/>
      <c r="W321" s="829"/>
      <c r="X321" s="516"/>
      <c r="Z321" s="287"/>
      <c r="AH321" s="530"/>
    </row>
    <row r="322" spans="1:34" ht="14.25" customHeight="1">
      <c r="A322" s="738"/>
      <c r="B322" s="721"/>
      <c r="C322" s="722"/>
      <c r="D322" s="722"/>
      <c r="E322" s="723"/>
      <c r="F322" s="782">
        <f>IF(Y323=0,IF(FIO="","",0),"")</f>
      </c>
      <c r="G322" s="803"/>
      <c r="H322" s="804"/>
      <c r="I322" s="806"/>
      <c r="J322" s="807"/>
      <c r="K322" s="808"/>
      <c r="L322" s="725"/>
      <c r="M322" s="725"/>
      <c r="N322" s="725"/>
      <c r="O322" s="725"/>
      <c r="P322" s="725"/>
      <c r="Q322" s="725"/>
      <c r="R322" s="725"/>
      <c r="S322" s="725"/>
      <c r="T322" s="725"/>
      <c r="U322" s="725"/>
      <c r="V322" s="725"/>
      <c r="W322" s="725"/>
      <c r="X322" s="516"/>
      <c r="Z322" s="263" t="s">
        <v>209</v>
      </c>
      <c r="AA322" s="264" t="s">
        <v>281</v>
      </c>
      <c r="AE322" s="569" t="s">
        <v>3</v>
      </c>
      <c r="AF322" s="570" t="s">
        <v>2</v>
      </c>
      <c r="AH322" s="530"/>
    </row>
    <row r="323" spans="1:34" ht="12.75" customHeight="1">
      <c r="A323" s="739"/>
      <c r="B323" s="794" t="str">
        <f>B291</f>
        <v>(далее – Прил. № 4)</v>
      </c>
      <c r="C323" s="795"/>
      <c r="D323" s="795"/>
      <c r="E323" s="796"/>
      <c r="F323" s="800"/>
      <c r="G323" s="801"/>
      <c r="H323" s="802"/>
      <c r="I323" s="809"/>
      <c r="J323" s="810"/>
      <c r="K323" s="811"/>
      <c r="L323" s="725"/>
      <c r="M323" s="725"/>
      <c r="N323" s="725"/>
      <c r="O323" s="725"/>
      <c r="P323" s="725"/>
      <c r="Q323" s="725"/>
      <c r="R323" s="725"/>
      <c r="S323" s="725"/>
      <c r="T323" s="725"/>
      <c r="U323" s="725"/>
      <c r="V323" s="725"/>
      <c r="W323" s="725"/>
      <c r="X323" s="516"/>
      <c r="Y323" s="279">
        <f>SUM(I322:W323)</f>
        <v>0</v>
      </c>
      <c r="Z323" s="265">
        <v>60</v>
      </c>
      <c r="AA323" s="282">
        <f>IF(z_kateg="высшая",AE323,AF323)</f>
        <v>0</v>
      </c>
      <c r="AE323" s="571">
        <v>0</v>
      </c>
      <c r="AF323" s="572">
        <v>0</v>
      </c>
      <c r="AH323" s="530"/>
    </row>
    <row r="324" spans="1:34" ht="13.5">
      <c r="A324" s="757" t="s">
        <v>204</v>
      </c>
      <c r="B324" s="760" t="s">
        <v>205</v>
      </c>
      <c r="C324" s="761"/>
      <c r="D324" s="761"/>
      <c r="E324" s="761"/>
      <c r="F324" s="761"/>
      <c r="G324" s="761"/>
      <c r="H324" s="761"/>
      <c r="I324" s="766" t="s">
        <v>206</v>
      </c>
      <c r="J324" s="767"/>
      <c r="K324" s="767"/>
      <c r="L324" s="767"/>
      <c r="M324" s="767"/>
      <c r="N324" s="767"/>
      <c r="O324" s="767"/>
      <c r="P324" s="767"/>
      <c r="Q324" s="767"/>
      <c r="R324" s="767"/>
      <c r="S324" s="767"/>
      <c r="T324" s="767"/>
      <c r="U324" s="767"/>
      <c r="V324" s="767"/>
      <c r="W324" s="768"/>
      <c r="X324" s="516"/>
      <c r="AE324" s="5"/>
      <c r="AF324" s="5"/>
      <c r="AH324" s="387"/>
    </row>
    <row r="325" spans="1:34" ht="14.25" customHeight="1">
      <c r="A325" s="758"/>
      <c r="B325" s="762"/>
      <c r="C325" s="763"/>
      <c r="D325" s="763"/>
      <c r="E325" s="763"/>
      <c r="F325" s="763"/>
      <c r="G325" s="763"/>
      <c r="H325" s="763"/>
      <c r="I325" s="769" t="s">
        <v>211</v>
      </c>
      <c r="J325" s="770"/>
      <c r="K325" s="770"/>
      <c r="L325" s="770"/>
      <c r="M325" s="770"/>
      <c r="N325" s="770"/>
      <c r="O325" s="770"/>
      <c r="P325" s="770"/>
      <c r="Q325" s="770"/>
      <c r="R325" s="770"/>
      <c r="S325" s="770"/>
      <c r="T325" s="770"/>
      <c r="U325" s="770"/>
      <c r="V325" s="770"/>
      <c r="W325" s="771"/>
      <c r="X325" s="516"/>
      <c r="AE325" s="5"/>
      <c r="AF325" s="5"/>
      <c r="AH325" s="387"/>
    </row>
    <row r="326" spans="1:34" ht="14.25" customHeight="1">
      <c r="A326" s="759"/>
      <c r="B326" s="764"/>
      <c r="C326" s="765"/>
      <c r="D326" s="765"/>
      <c r="E326" s="765"/>
      <c r="F326" s="765"/>
      <c r="G326" s="765"/>
      <c r="H326" s="765"/>
      <c r="I326" s="717">
        <v>0</v>
      </c>
      <c r="J326" s="717"/>
      <c r="K326" s="717"/>
      <c r="L326" s="717"/>
      <c r="M326" s="717"/>
      <c r="N326" s="717">
        <v>10</v>
      </c>
      <c r="O326" s="717"/>
      <c r="P326" s="717"/>
      <c r="Q326" s="717"/>
      <c r="R326" s="717"/>
      <c r="S326" s="717">
        <v>20</v>
      </c>
      <c r="T326" s="717"/>
      <c r="U326" s="717"/>
      <c r="V326" s="717"/>
      <c r="W326" s="717"/>
      <c r="X326" s="516"/>
      <c r="AE326" s="5"/>
      <c r="AF326" s="5"/>
      <c r="AH326" s="387"/>
    </row>
    <row r="327" spans="1:34" ht="12.75" customHeight="1">
      <c r="A327" s="737" t="s">
        <v>238</v>
      </c>
      <c r="B327" s="718" t="s">
        <v>581</v>
      </c>
      <c r="C327" s="803"/>
      <c r="D327" s="803"/>
      <c r="E327" s="803"/>
      <c r="F327" s="803"/>
      <c r="G327" s="803"/>
      <c r="H327" s="804"/>
      <c r="I327" s="755" t="s">
        <v>212</v>
      </c>
      <c r="J327" s="755"/>
      <c r="K327" s="755"/>
      <c r="L327" s="755"/>
      <c r="M327" s="755"/>
      <c r="N327" s="755" t="s">
        <v>433</v>
      </c>
      <c r="O327" s="755"/>
      <c r="P327" s="755"/>
      <c r="Q327" s="755"/>
      <c r="R327" s="755"/>
      <c r="S327" s="755" t="s">
        <v>582</v>
      </c>
      <c r="T327" s="755"/>
      <c r="U327" s="755"/>
      <c r="V327" s="755"/>
      <c r="W327" s="755"/>
      <c r="X327" s="516"/>
      <c r="AE327" s="5"/>
      <c r="AF327" s="5"/>
      <c r="AH327" s="387"/>
    </row>
    <row r="328" spans="1:34" ht="26.25" customHeight="1">
      <c r="A328" s="738"/>
      <c r="B328" s="805"/>
      <c r="C328" s="640"/>
      <c r="D328" s="640"/>
      <c r="E328" s="640"/>
      <c r="F328" s="640"/>
      <c r="G328" s="640"/>
      <c r="H328" s="799"/>
      <c r="I328" s="755"/>
      <c r="J328" s="755"/>
      <c r="K328" s="755"/>
      <c r="L328" s="755"/>
      <c r="M328" s="755"/>
      <c r="N328" s="755"/>
      <c r="O328" s="755"/>
      <c r="P328" s="755"/>
      <c r="Q328" s="755"/>
      <c r="R328" s="755"/>
      <c r="S328" s="755"/>
      <c r="T328" s="755"/>
      <c r="U328" s="755"/>
      <c r="V328" s="755"/>
      <c r="W328" s="755"/>
      <c r="X328" s="516"/>
      <c r="Y328" s="13"/>
      <c r="Z328" s="255"/>
      <c r="AA328" s="291"/>
      <c r="AB328" s="291"/>
      <c r="AC328" s="13"/>
      <c r="AD328" s="13"/>
      <c r="AE328" s="13"/>
      <c r="AF328" s="5"/>
      <c r="AH328" s="387"/>
    </row>
    <row r="329" spans="1:34" ht="12.75" customHeight="1">
      <c r="A329" s="738"/>
      <c r="B329" s="791" t="str">
        <f>B323</f>
        <v>(далее – Прил. № 4)</v>
      </c>
      <c r="C329" s="640"/>
      <c r="D329" s="640"/>
      <c r="E329" s="640"/>
      <c r="F329" s="640"/>
      <c r="G329" s="640"/>
      <c r="H329" s="799"/>
      <c r="I329" s="724">
        <f>IF(Y330=0,IF(FIO="","",0),"")</f>
      </c>
      <c r="J329" s="724"/>
      <c r="K329" s="724"/>
      <c r="L329" s="724"/>
      <c r="M329" s="724"/>
      <c r="N329" s="725"/>
      <c r="O329" s="725"/>
      <c r="P329" s="725"/>
      <c r="Q329" s="725"/>
      <c r="R329" s="725"/>
      <c r="S329" s="725"/>
      <c r="T329" s="725"/>
      <c r="U329" s="725"/>
      <c r="V329" s="725"/>
      <c r="W329" s="725"/>
      <c r="X329" s="516"/>
      <c r="Z329" s="263" t="s">
        <v>209</v>
      </c>
      <c r="AA329" s="264" t="s">
        <v>281</v>
      </c>
      <c r="AE329" s="299" t="s">
        <v>3</v>
      </c>
      <c r="AF329" s="300" t="s">
        <v>2</v>
      </c>
      <c r="AH329" s="387"/>
    </row>
    <row r="330" spans="1:34" ht="12.75" customHeight="1">
      <c r="A330" s="739"/>
      <c r="B330" s="800"/>
      <c r="C330" s="801"/>
      <c r="D330" s="801"/>
      <c r="E330" s="801"/>
      <c r="F330" s="801"/>
      <c r="G330" s="801"/>
      <c r="H330" s="802"/>
      <c r="I330" s="724"/>
      <c r="J330" s="724"/>
      <c r="K330" s="724"/>
      <c r="L330" s="724"/>
      <c r="M330" s="724"/>
      <c r="N330" s="725"/>
      <c r="O330" s="725"/>
      <c r="P330" s="725"/>
      <c r="Q330" s="725"/>
      <c r="R330" s="725"/>
      <c r="S330" s="725"/>
      <c r="T330" s="725"/>
      <c r="U330" s="725"/>
      <c r="V330" s="725"/>
      <c r="W330" s="725"/>
      <c r="X330" s="516"/>
      <c r="Y330" s="279">
        <f>SUM(N329:W330)</f>
        <v>0</v>
      </c>
      <c r="Z330" s="265">
        <v>30</v>
      </c>
      <c r="AA330" s="282">
        <v>10</v>
      </c>
      <c r="AE330" s="297">
        <v>0</v>
      </c>
      <c r="AF330" s="298">
        <v>0</v>
      </c>
      <c r="AH330" s="387"/>
    </row>
    <row r="331" spans="1:34" ht="13.5">
      <c r="A331" s="757" t="s">
        <v>204</v>
      </c>
      <c r="B331" s="760" t="s">
        <v>205</v>
      </c>
      <c r="C331" s="761"/>
      <c r="D331" s="761"/>
      <c r="E331" s="761"/>
      <c r="F331" s="761"/>
      <c r="G331" s="761"/>
      <c r="H331" s="862"/>
      <c r="I331" s="766" t="s">
        <v>206</v>
      </c>
      <c r="J331" s="767"/>
      <c r="K331" s="767"/>
      <c r="L331" s="767"/>
      <c r="M331" s="767"/>
      <c r="N331" s="767"/>
      <c r="O331" s="767"/>
      <c r="P331" s="767"/>
      <c r="Q331" s="767"/>
      <c r="R331" s="767"/>
      <c r="S331" s="767"/>
      <c r="T331" s="767"/>
      <c r="U331" s="767"/>
      <c r="V331" s="767"/>
      <c r="W331" s="768"/>
      <c r="X331" s="516"/>
      <c r="Y331" s="13"/>
      <c r="AA331" s="13"/>
      <c r="AC331" s="13"/>
      <c r="AE331" s="328"/>
      <c r="AH331" s="530"/>
    </row>
    <row r="332" spans="1:34" ht="14.25" customHeight="1">
      <c r="A332" s="758"/>
      <c r="B332" s="762"/>
      <c r="C332" s="763"/>
      <c r="D332" s="763"/>
      <c r="E332" s="763"/>
      <c r="F332" s="763"/>
      <c r="G332" s="763"/>
      <c r="H332" s="863"/>
      <c r="I332" s="769" t="s">
        <v>211</v>
      </c>
      <c r="J332" s="770"/>
      <c r="K332" s="770"/>
      <c r="L332" s="770"/>
      <c r="M332" s="770"/>
      <c r="N332" s="770"/>
      <c r="O332" s="770"/>
      <c r="P332" s="770"/>
      <c r="Q332" s="770"/>
      <c r="R332" s="770"/>
      <c r="S332" s="770"/>
      <c r="T332" s="770"/>
      <c r="U332" s="770"/>
      <c r="V332" s="770"/>
      <c r="W332" s="771"/>
      <c r="X332" s="516"/>
      <c r="Y332" s="13"/>
      <c r="Z332" s="13"/>
      <c r="AA332" s="13"/>
      <c r="AB332" s="13"/>
      <c r="AC332" s="13"/>
      <c r="AD332" s="13"/>
      <c r="AE332" s="328"/>
      <c r="AH332" s="530"/>
    </row>
    <row r="333" spans="1:34" ht="14.25" customHeight="1">
      <c r="A333" s="759"/>
      <c r="B333" s="762"/>
      <c r="C333" s="763"/>
      <c r="D333" s="763"/>
      <c r="E333" s="763"/>
      <c r="F333" s="763"/>
      <c r="G333" s="763"/>
      <c r="H333" s="863"/>
      <c r="I333" s="821">
        <v>0</v>
      </c>
      <c r="J333" s="822"/>
      <c r="K333" s="823"/>
      <c r="L333" s="821" t="s">
        <v>269</v>
      </c>
      <c r="M333" s="822"/>
      <c r="N333" s="822"/>
      <c r="O333" s="823"/>
      <c r="P333" s="821" t="s">
        <v>271</v>
      </c>
      <c r="Q333" s="822"/>
      <c r="R333" s="822"/>
      <c r="S333" s="823"/>
      <c r="T333" s="821" t="s">
        <v>435</v>
      </c>
      <c r="U333" s="822"/>
      <c r="V333" s="822"/>
      <c r="W333" s="823"/>
      <c r="X333" s="516"/>
      <c r="Y333" s="13"/>
      <c r="Z333" s="13"/>
      <c r="AA333" s="13"/>
      <c r="AB333" s="13"/>
      <c r="AC333" s="13"/>
      <c r="AD333" s="13"/>
      <c r="AE333" s="328"/>
      <c r="AH333" s="530"/>
    </row>
    <row r="334" spans="1:34" ht="12.75" customHeight="1">
      <c r="A334" s="737" t="s">
        <v>239</v>
      </c>
      <c r="B334" s="718" t="s">
        <v>583</v>
      </c>
      <c r="C334" s="719"/>
      <c r="D334" s="719"/>
      <c r="E334" s="719"/>
      <c r="F334" s="719"/>
      <c r="G334" s="719"/>
      <c r="H334" s="720"/>
      <c r="I334" s="726" t="s">
        <v>212</v>
      </c>
      <c r="J334" s="727"/>
      <c r="K334" s="728"/>
      <c r="L334" s="824" t="s">
        <v>537</v>
      </c>
      <c r="M334" s="825"/>
      <c r="N334" s="825"/>
      <c r="O334" s="826"/>
      <c r="P334" s="824" t="s">
        <v>423</v>
      </c>
      <c r="Q334" s="825"/>
      <c r="R334" s="825"/>
      <c r="S334" s="826"/>
      <c r="T334" s="824" t="s">
        <v>432</v>
      </c>
      <c r="U334" s="825"/>
      <c r="V334" s="825"/>
      <c r="W334" s="826"/>
      <c r="X334" s="516"/>
      <c r="Y334" s="13"/>
      <c r="AA334" s="13"/>
      <c r="AB334" s="13"/>
      <c r="AC334" s="13"/>
      <c r="AH334" s="530"/>
    </row>
    <row r="335" spans="1:34" ht="12.75" customHeight="1">
      <c r="A335" s="738"/>
      <c r="B335" s="721"/>
      <c r="C335" s="722"/>
      <c r="D335" s="722"/>
      <c r="E335" s="722"/>
      <c r="F335" s="722"/>
      <c r="G335" s="722"/>
      <c r="H335" s="723"/>
      <c r="I335" s="729"/>
      <c r="J335" s="730"/>
      <c r="K335" s="731"/>
      <c r="L335" s="827"/>
      <c r="M335" s="828"/>
      <c r="N335" s="828"/>
      <c r="O335" s="829"/>
      <c r="P335" s="827"/>
      <c r="Q335" s="828"/>
      <c r="R335" s="828"/>
      <c r="S335" s="829"/>
      <c r="T335" s="827"/>
      <c r="U335" s="828"/>
      <c r="V335" s="828"/>
      <c r="W335" s="829"/>
      <c r="X335" s="516"/>
      <c r="Y335" s="13"/>
      <c r="AA335" s="13"/>
      <c r="AB335" s="13"/>
      <c r="AC335" s="13"/>
      <c r="AH335" s="530"/>
    </row>
    <row r="336" spans="1:34" ht="2.25" customHeight="1">
      <c r="A336" s="738"/>
      <c r="B336" s="721"/>
      <c r="C336" s="722"/>
      <c r="D336" s="722"/>
      <c r="E336" s="722"/>
      <c r="F336" s="722"/>
      <c r="G336" s="722"/>
      <c r="H336" s="723"/>
      <c r="I336" s="729"/>
      <c r="J336" s="730"/>
      <c r="K336" s="731"/>
      <c r="L336" s="827"/>
      <c r="M336" s="828"/>
      <c r="N336" s="828"/>
      <c r="O336" s="829"/>
      <c r="P336" s="827"/>
      <c r="Q336" s="828"/>
      <c r="R336" s="828"/>
      <c r="S336" s="829"/>
      <c r="T336" s="827"/>
      <c r="U336" s="828"/>
      <c r="V336" s="828"/>
      <c r="W336" s="829"/>
      <c r="X336" s="516"/>
      <c r="Y336" s="13"/>
      <c r="AA336" s="13"/>
      <c r="AB336" s="13"/>
      <c r="AC336" s="13"/>
      <c r="AH336" s="530"/>
    </row>
    <row r="337" spans="1:34" ht="12.75" customHeight="1">
      <c r="A337" s="738"/>
      <c r="B337" s="721"/>
      <c r="C337" s="722"/>
      <c r="D337" s="722"/>
      <c r="E337" s="722"/>
      <c r="F337" s="722"/>
      <c r="G337" s="722"/>
      <c r="H337" s="723"/>
      <c r="I337" s="839"/>
      <c r="J337" s="840"/>
      <c r="K337" s="841"/>
      <c r="L337" s="830" t="s">
        <v>314</v>
      </c>
      <c r="M337" s="831"/>
      <c r="N337" s="831"/>
      <c r="O337" s="832"/>
      <c r="P337" s="830" t="s">
        <v>449</v>
      </c>
      <c r="Q337" s="831"/>
      <c r="R337" s="831"/>
      <c r="S337" s="832"/>
      <c r="T337" s="830" t="s">
        <v>450</v>
      </c>
      <c r="U337" s="831"/>
      <c r="V337" s="831"/>
      <c r="W337" s="832"/>
      <c r="X337" s="516"/>
      <c r="Y337" s="13"/>
      <c r="AH337" s="530"/>
    </row>
    <row r="338" spans="1:34" ht="12.75" customHeight="1">
      <c r="A338" s="738"/>
      <c r="B338" s="721"/>
      <c r="C338" s="722"/>
      <c r="D338" s="722"/>
      <c r="E338" s="722"/>
      <c r="F338" s="722"/>
      <c r="G338" s="722"/>
      <c r="H338" s="723"/>
      <c r="I338" s="839"/>
      <c r="J338" s="840"/>
      <c r="K338" s="841"/>
      <c r="L338" s="830"/>
      <c r="M338" s="831"/>
      <c r="N338" s="831"/>
      <c r="O338" s="832"/>
      <c r="P338" s="830"/>
      <c r="Q338" s="831"/>
      <c r="R338" s="831"/>
      <c r="S338" s="832"/>
      <c r="T338" s="830"/>
      <c r="U338" s="831"/>
      <c r="V338" s="831"/>
      <c r="W338" s="832"/>
      <c r="X338" s="516"/>
      <c r="Y338" s="13"/>
      <c r="AH338" s="530"/>
    </row>
    <row r="339" spans="1:34" ht="15" customHeight="1">
      <c r="A339" s="738"/>
      <c r="B339" s="721"/>
      <c r="C339" s="722"/>
      <c r="D339" s="722"/>
      <c r="E339" s="722"/>
      <c r="F339" s="722"/>
      <c r="G339" s="722"/>
      <c r="H339" s="723"/>
      <c r="I339" s="833"/>
      <c r="J339" s="834"/>
      <c r="K339" s="835"/>
      <c r="L339" s="833" t="s">
        <v>293</v>
      </c>
      <c r="M339" s="834"/>
      <c r="N339" s="834"/>
      <c r="O339" s="834"/>
      <c r="P339" s="833" t="s">
        <v>285</v>
      </c>
      <c r="Q339" s="834"/>
      <c r="R339" s="834"/>
      <c r="S339" s="835"/>
      <c r="T339" s="833" t="s">
        <v>430</v>
      </c>
      <c r="U339" s="834"/>
      <c r="V339" s="834"/>
      <c r="W339" s="835"/>
      <c r="X339" s="516"/>
      <c r="Y339" s="13"/>
      <c r="AH339" s="530"/>
    </row>
    <row r="340" spans="1:34" ht="12.75" customHeight="1">
      <c r="A340" s="738"/>
      <c r="B340" s="791" t="str">
        <f>B291</f>
        <v>(далее – Прил. № 4)</v>
      </c>
      <c r="C340" s="792"/>
      <c r="D340" s="792"/>
      <c r="E340" s="792"/>
      <c r="F340" s="792"/>
      <c r="G340" s="792"/>
      <c r="H340" s="793"/>
      <c r="I340" s="782">
        <f>IF(Y341=0,IF(FIO="","",0),"")</f>
      </c>
      <c r="J340" s="783"/>
      <c r="K340" s="784"/>
      <c r="L340" s="725"/>
      <c r="M340" s="725"/>
      <c r="N340" s="725"/>
      <c r="O340" s="725"/>
      <c r="P340" s="725"/>
      <c r="Q340" s="725"/>
      <c r="R340" s="725"/>
      <c r="S340" s="725"/>
      <c r="T340" s="725"/>
      <c r="U340" s="725"/>
      <c r="V340" s="725"/>
      <c r="W340" s="725"/>
      <c r="X340" s="516"/>
      <c r="Z340" s="263" t="s">
        <v>209</v>
      </c>
      <c r="AA340" s="264" t="s">
        <v>281</v>
      </c>
      <c r="AE340" s="569" t="s">
        <v>3</v>
      </c>
      <c r="AF340" s="570" t="s">
        <v>2</v>
      </c>
      <c r="AH340" s="530"/>
    </row>
    <row r="341" spans="1:34" ht="12.75" customHeight="1">
      <c r="A341" s="739"/>
      <c r="B341" s="794"/>
      <c r="C341" s="795"/>
      <c r="D341" s="795"/>
      <c r="E341" s="795"/>
      <c r="F341" s="795"/>
      <c r="G341" s="795"/>
      <c r="H341" s="796"/>
      <c r="I341" s="788"/>
      <c r="J341" s="789"/>
      <c r="K341" s="790"/>
      <c r="L341" s="725"/>
      <c r="M341" s="725"/>
      <c r="N341" s="725"/>
      <c r="O341" s="725"/>
      <c r="P341" s="725"/>
      <c r="Q341" s="725"/>
      <c r="R341" s="725"/>
      <c r="S341" s="725"/>
      <c r="T341" s="725"/>
      <c r="U341" s="725"/>
      <c r="V341" s="725"/>
      <c r="W341" s="725"/>
      <c r="X341" s="516"/>
      <c r="Y341" s="279">
        <f>SUM(L340:W341)</f>
        <v>0</v>
      </c>
      <c r="Z341" s="265">
        <v>110</v>
      </c>
      <c r="AA341" s="282">
        <f>IF(z_kateg="высшая",AE341,AF341)</f>
        <v>10</v>
      </c>
      <c r="AE341" s="571">
        <v>20</v>
      </c>
      <c r="AF341" s="572">
        <v>10</v>
      </c>
      <c r="AH341" s="530"/>
    </row>
    <row r="342" spans="1:34" ht="13.5">
      <c r="A342" s="757" t="s">
        <v>204</v>
      </c>
      <c r="B342" s="760" t="s">
        <v>205</v>
      </c>
      <c r="C342" s="761"/>
      <c r="D342" s="761"/>
      <c r="E342" s="761"/>
      <c r="F342" s="761"/>
      <c r="G342" s="761"/>
      <c r="H342" s="761"/>
      <c r="I342" s="766" t="s">
        <v>206</v>
      </c>
      <c r="J342" s="767"/>
      <c r="K342" s="767"/>
      <c r="L342" s="767"/>
      <c r="M342" s="767"/>
      <c r="N342" s="767"/>
      <c r="O342" s="767"/>
      <c r="P342" s="767"/>
      <c r="Q342" s="767"/>
      <c r="R342" s="767"/>
      <c r="S342" s="767"/>
      <c r="T342" s="767"/>
      <c r="U342" s="767"/>
      <c r="V342" s="767"/>
      <c r="W342" s="768"/>
      <c r="X342" s="516"/>
      <c r="AA342" s="952"/>
      <c r="AE342" s="949"/>
      <c r="AF342" s="949"/>
      <c r="AH342" s="530"/>
    </row>
    <row r="343" spans="1:34" ht="14.25" customHeight="1">
      <c r="A343" s="758"/>
      <c r="B343" s="762"/>
      <c r="C343" s="763"/>
      <c r="D343" s="763"/>
      <c r="E343" s="763"/>
      <c r="F343" s="763"/>
      <c r="G343" s="763"/>
      <c r="H343" s="763"/>
      <c r="I343" s="769" t="s">
        <v>207</v>
      </c>
      <c r="J343" s="770"/>
      <c r="K343" s="770"/>
      <c r="L343" s="770"/>
      <c r="M343" s="770"/>
      <c r="N343" s="770"/>
      <c r="O343" s="770"/>
      <c r="P343" s="770"/>
      <c r="Q343" s="770"/>
      <c r="R343" s="770"/>
      <c r="S343" s="770"/>
      <c r="T343" s="770"/>
      <c r="U343" s="770"/>
      <c r="V343" s="770"/>
      <c r="W343" s="771"/>
      <c r="X343" s="516"/>
      <c r="AA343" s="952"/>
      <c r="AE343" s="949"/>
      <c r="AF343" s="949"/>
      <c r="AH343" s="530"/>
    </row>
    <row r="344" spans="1:34" ht="14.25" customHeight="1">
      <c r="A344" s="759"/>
      <c r="B344" s="764"/>
      <c r="C344" s="765"/>
      <c r="D344" s="765"/>
      <c r="E344" s="765"/>
      <c r="F344" s="765"/>
      <c r="G344" s="765"/>
      <c r="H344" s="765"/>
      <c r="I344" s="821">
        <v>0</v>
      </c>
      <c r="J344" s="822"/>
      <c r="K344" s="822"/>
      <c r="L344" s="822"/>
      <c r="M344" s="822"/>
      <c r="N344" s="822"/>
      <c r="O344" s="823"/>
      <c r="P344" s="821" t="s">
        <v>214</v>
      </c>
      <c r="Q344" s="822"/>
      <c r="R344" s="822"/>
      <c r="S344" s="822"/>
      <c r="T344" s="822"/>
      <c r="U344" s="822"/>
      <c r="V344" s="822"/>
      <c r="W344" s="823"/>
      <c r="X344" s="516"/>
      <c r="AA344" s="952"/>
      <c r="AE344" s="949"/>
      <c r="AF344" s="949"/>
      <c r="AH344" s="530"/>
    </row>
    <row r="345" spans="1:34" ht="12.75" customHeight="1">
      <c r="A345" s="737" t="s">
        <v>242</v>
      </c>
      <c r="B345" s="718" t="s">
        <v>584</v>
      </c>
      <c r="C345" s="719"/>
      <c r="D345" s="719"/>
      <c r="E345" s="719"/>
      <c r="F345" s="719"/>
      <c r="G345" s="719"/>
      <c r="H345" s="720"/>
      <c r="I345" s="726" t="s">
        <v>240</v>
      </c>
      <c r="J345" s="727"/>
      <c r="K345" s="727"/>
      <c r="L345" s="727"/>
      <c r="M345" s="727"/>
      <c r="N345" s="727"/>
      <c r="O345" s="728"/>
      <c r="P345" s="824" t="s">
        <v>241</v>
      </c>
      <c r="Q345" s="825"/>
      <c r="R345" s="825"/>
      <c r="S345" s="825"/>
      <c r="T345" s="825"/>
      <c r="U345" s="825"/>
      <c r="V345" s="825"/>
      <c r="W345" s="826"/>
      <c r="X345" s="516"/>
      <c r="AA345" s="952"/>
      <c r="AE345" s="949"/>
      <c r="AF345" s="949"/>
      <c r="AH345" s="530"/>
    </row>
    <row r="346" spans="1:34" ht="12.75">
      <c r="A346" s="738"/>
      <c r="B346" s="721"/>
      <c r="C346" s="722"/>
      <c r="D346" s="722"/>
      <c r="E346" s="722"/>
      <c r="F346" s="722"/>
      <c r="G346" s="722"/>
      <c r="H346" s="723"/>
      <c r="I346" s="729"/>
      <c r="J346" s="730"/>
      <c r="K346" s="730"/>
      <c r="L346" s="730"/>
      <c r="M346" s="730"/>
      <c r="N346" s="730"/>
      <c r="O346" s="731"/>
      <c r="P346" s="827"/>
      <c r="Q346" s="828"/>
      <c r="R346" s="828"/>
      <c r="S346" s="828"/>
      <c r="T346" s="828"/>
      <c r="U346" s="828"/>
      <c r="V346" s="828"/>
      <c r="W346" s="829"/>
      <c r="X346" s="516"/>
      <c r="AA346" s="952"/>
      <c r="AE346" s="949"/>
      <c r="AF346" s="949"/>
      <c r="AH346" s="530"/>
    </row>
    <row r="347" spans="1:34" ht="12.75">
      <c r="A347" s="738"/>
      <c r="B347" s="721"/>
      <c r="C347" s="722"/>
      <c r="D347" s="722"/>
      <c r="E347" s="722"/>
      <c r="F347" s="722"/>
      <c r="G347" s="722"/>
      <c r="H347" s="723"/>
      <c r="I347" s="729"/>
      <c r="J347" s="730"/>
      <c r="K347" s="730"/>
      <c r="L347" s="730"/>
      <c r="M347" s="730"/>
      <c r="N347" s="730"/>
      <c r="O347" s="731"/>
      <c r="P347" s="839" t="s">
        <v>303</v>
      </c>
      <c r="Q347" s="840"/>
      <c r="R347" s="840"/>
      <c r="S347" s="840"/>
      <c r="T347" s="840"/>
      <c r="U347" s="840"/>
      <c r="V347" s="840"/>
      <c r="W347" s="841"/>
      <c r="X347" s="516"/>
      <c r="AA347" s="952"/>
      <c r="AE347" s="949"/>
      <c r="AF347" s="949"/>
      <c r="AH347" s="530"/>
    </row>
    <row r="348" spans="1:34" ht="12.75">
      <c r="A348" s="738"/>
      <c r="B348" s="721"/>
      <c r="C348" s="722"/>
      <c r="D348" s="722"/>
      <c r="E348" s="722"/>
      <c r="F348" s="722"/>
      <c r="G348" s="722"/>
      <c r="H348" s="723"/>
      <c r="I348" s="740"/>
      <c r="J348" s="741"/>
      <c r="K348" s="741"/>
      <c r="L348" s="741"/>
      <c r="M348" s="741"/>
      <c r="N348" s="741"/>
      <c r="O348" s="742"/>
      <c r="P348" s="833" t="s">
        <v>285</v>
      </c>
      <c r="Q348" s="834"/>
      <c r="R348" s="834"/>
      <c r="S348" s="834"/>
      <c r="T348" s="834"/>
      <c r="U348" s="834"/>
      <c r="V348" s="834"/>
      <c r="W348" s="835"/>
      <c r="X348" s="516"/>
      <c r="Y348" s="13"/>
      <c r="Z348" s="255"/>
      <c r="AA348" s="952"/>
      <c r="AB348" s="291"/>
      <c r="AC348" s="13"/>
      <c r="AD348" s="13"/>
      <c r="AE348" s="949"/>
      <c r="AF348" s="949"/>
      <c r="AH348" s="530"/>
    </row>
    <row r="349" spans="1:34" ht="12.75">
      <c r="A349" s="738"/>
      <c r="B349" s="791" t="str">
        <f>B291</f>
        <v>(далее – Прил. № 4)</v>
      </c>
      <c r="C349" s="792"/>
      <c r="D349" s="792"/>
      <c r="E349" s="792"/>
      <c r="F349" s="792"/>
      <c r="G349" s="792"/>
      <c r="H349" s="793"/>
      <c r="I349" s="782">
        <f>IF(Y350=0,IF(FIO="","",0),"")</f>
      </c>
      <c r="J349" s="783"/>
      <c r="K349" s="783"/>
      <c r="L349" s="783"/>
      <c r="M349" s="783"/>
      <c r="N349" s="783"/>
      <c r="O349" s="784"/>
      <c r="P349" s="836"/>
      <c r="Q349" s="837"/>
      <c r="R349" s="837"/>
      <c r="S349" s="837"/>
      <c r="T349" s="837"/>
      <c r="U349" s="837"/>
      <c r="V349" s="837"/>
      <c r="W349" s="838"/>
      <c r="X349" s="516"/>
      <c r="Z349" s="263" t="s">
        <v>209</v>
      </c>
      <c r="AA349" s="952"/>
      <c r="AE349" s="949"/>
      <c r="AF349" s="949"/>
      <c r="AH349" s="530"/>
    </row>
    <row r="350" spans="1:34" ht="12.75" customHeight="1">
      <c r="A350" s="739"/>
      <c r="B350" s="794"/>
      <c r="C350" s="795"/>
      <c r="D350" s="795"/>
      <c r="E350" s="795"/>
      <c r="F350" s="795"/>
      <c r="G350" s="795"/>
      <c r="H350" s="796"/>
      <c r="I350" s="788"/>
      <c r="J350" s="789"/>
      <c r="K350" s="789"/>
      <c r="L350" s="789"/>
      <c r="M350" s="789"/>
      <c r="N350" s="789"/>
      <c r="O350" s="790"/>
      <c r="P350" s="809"/>
      <c r="Q350" s="810"/>
      <c r="R350" s="810"/>
      <c r="S350" s="810"/>
      <c r="T350" s="810"/>
      <c r="U350" s="810"/>
      <c r="V350" s="810"/>
      <c r="W350" s="811"/>
      <c r="X350" s="516"/>
      <c r="Y350" s="279">
        <f>MAX(P349)</f>
        <v>0</v>
      </c>
      <c r="Z350" s="265">
        <v>40</v>
      </c>
      <c r="AA350" s="952"/>
      <c r="AE350" s="949"/>
      <c r="AF350" s="949"/>
      <c r="AH350" s="530"/>
    </row>
    <row r="351" spans="1:34" ht="13.5">
      <c r="A351" s="757" t="s">
        <v>204</v>
      </c>
      <c r="B351" s="760" t="s">
        <v>205</v>
      </c>
      <c r="C351" s="761"/>
      <c r="D351" s="761"/>
      <c r="E351" s="761"/>
      <c r="F351" s="761"/>
      <c r="G351" s="761"/>
      <c r="H351" s="761"/>
      <c r="I351" s="766" t="s">
        <v>206</v>
      </c>
      <c r="J351" s="767"/>
      <c r="K351" s="767"/>
      <c r="L351" s="767"/>
      <c r="M351" s="767"/>
      <c r="N351" s="767"/>
      <c r="O351" s="767"/>
      <c r="P351" s="767"/>
      <c r="Q351" s="767"/>
      <c r="R351" s="767"/>
      <c r="S351" s="767"/>
      <c r="T351" s="767"/>
      <c r="U351" s="767"/>
      <c r="V351" s="767"/>
      <c r="W351" s="768"/>
      <c r="X351" s="516"/>
      <c r="AA351" s="952"/>
      <c r="AE351" s="949"/>
      <c r="AF351" s="949"/>
      <c r="AH351" s="530"/>
    </row>
    <row r="352" spans="1:34" ht="14.25" customHeight="1">
      <c r="A352" s="758"/>
      <c r="B352" s="762"/>
      <c r="C352" s="763"/>
      <c r="D352" s="763"/>
      <c r="E352" s="763"/>
      <c r="F352" s="763"/>
      <c r="G352" s="763"/>
      <c r="H352" s="763"/>
      <c r="I352" s="769" t="s">
        <v>211</v>
      </c>
      <c r="J352" s="770"/>
      <c r="K352" s="770"/>
      <c r="L352" s="770"/>
      <c r="M352" s="770"/>
      <c r="N352" s="770"/>
      <c r="O352" s="770"/>
      <c r="P352" s="770"/>
      <c r="Q352" s="770"/>
      <c r="R352" s="770"/>
      <c r="S352" s="770"/>
      <c r="T352" s="770"/>
      <c r="U352" s="770"/>
      <c r="V352" s="770"/>
      <c r="W352" s="771"/>
      <c r="X352" s="516"/>
      <c r="AA352" s="952"/>
      <c r="AE352" s="949"/>
      <c r="AF352" s="949"/>
      <c r="AH352" s="530"/>
    </row>
    <row r="353" spans="1:34" ht="14.25" customHeight="1">
      <c r="A353" s="759"/>
      <c r="B353" s="764"/>
      <c r="C353" s="765"/>
      <c r="D353" s="765"/>
      <c r="E353" s="765"/>
      <c r="F353" s="765"/>
      <c r="G353" s="765"/>
      <c r="H353" s="765"/>
      <c r="I353" s="717">
        <v>0</v>
      </c>
      <c r="J353" s="717"/>
      <c r="K353" s="717"/>
      <c r="L353" s="717"/>
      <c r="M353" s="717"/>
      <c r="N353" s="717" t="s">
        <v>213</v>
      </c>
      <c r="O353" s="717"/>
      <c r="P353" s="717"/>
      <c r="Q353" s="717"/>
      <c r="R353" s="717"/>
      <c r="S353" s="717" t="s">
        <v>232</v>
      </c>
      <c r="T353" s="717"/>
      <c r="U353" s="717"/>
      <c r="V353" s="717"/>
      <c r="W353" s="717"/>
      <c r="X353" s="516"/>
      <c r="AA353" s="952"/>
      <c r="AE353" s="949"/>
      <c r="AF353" s="949"/>
      <c r="AH353" s="530"/>
    </row>
    <row r="354" spans="1:34" ht="12.75" customHeight="1">
      <c r="A354" s="737" t="s">
        <v>585</v>
      </c>
      <c r="B354" s="718" t="s">
        <v>304</v>
      </c>
      <c r="C354" s="803"/>
      <c r="D354" s="803"/>
      <c r="E354" s="803"/>
      <c r="F354" s="803"/>
      <c r="G354" s="803"/>
      <c r="H354" s="804"/>
      <c r="I354" s="726" t="s">
        <v>456</v>
      </c>
      <c r="J354" s="727"/>
      <c r="K354" s="727"/>
      <c r="L354" s="727"/>
      <c r="M354" s="728"/>
      <c r="N354" s="824" t="s">
        <v>442</v>
      </c>
      <c r="O354" s="825"/>
      <c r="P354" s="825"/>
      <c r="Q354" s="825"/>
      <c r="R354" s="826"/>
      <c r="S354" s="824" t="s">
        <v>443</v>
      </c>
      <c r="T354" s="825"/>
      <c r="U354" s="825"/>
      <c r="V354" s="825"/>
      <c r="W354" s="826"/>
      <c r="X354" s="516"/>
      <c r="AA354" s="952"/>
      <c r="AE354" s="949"/>
      <c r="AF354" s="949"/>
      <c r="AH354" s="530"/>
    </row>
    <row r="355" spans="1:34" ht="3" customHeight="1">
      <c r="A355" s="738"/>
      <c r="B355" s="805"/>
      <c r="C355" s="640"/>
      <c r="D355" s="640"/>
      <c r="E355" s="640"/>
      <c r="F355" s="640"/>
      <c r="G355" s="640"/>
      <c r="H355" s="799"/>
      <c r="I355" s="729"/>
      <c r="J355" s="730"/>
      <c r="K355" s="730"/>
      <c r="L355" s="730"/>
      <c r="M355" s="731"/>
      <c r="N355" s="827"/>
      <c r="O355" s="828"/>
      <c r="P355" s="828"/>
      <c r="Q355" s="828"/>
      <c r="R355" s="829"/>
      <c r="S355" s="827"/>
      <c r="T355" s="828"/>
      <c r="U355" s="828"/>
      <c r="V355" s="828"/>
      <c r="W355" s="829"/>
      <c r="X355" s="516"/>
      <c r="AA355" s="952"/>
      <c r="AE355" s="949"/>
      <c r="AF355" s="949"/>
      <c r="AH355" s="530"/>
    </row>
    <row r="356" spans="1:34" ht="12.75">
      <c r="A356" s="738"/>
      <c r="B356" s="1007" t="s">
        <v>315</v>
      </c>
      <c r="C356" s="1008"/>
      <c r="D356" s="1008"/>
      <c r="E356" s="1008"/>
      <c r="F356" s="1008"/>
      <c r="G356" s="1008"/>
      <c r="H356" s="1009"/>
      <c r="I356" s="729"/>
      <c r="J356" s="730"/>
      <c r="K356" s="730"/>
      <c r="L356" s="730"/>
      <c r="M356" s="731"/>
      <c r="N356" s="827"/>
      <c r="O356" s="828"/>
      <c r="P356" s="828"/>
      <c r="Q356" s="828"/>
      <c r="R356" s="829"/>
      <c r="S356" s="827"/>
      <c r="T356" s="828"/>
      <c r="U356" s="828"/>
      <c r="V356" s="828"/>
      <c r="W356" s="829"/>
      <c r="X356" s="516"/>
      <c r="AA356" s="952"/>
      <c r="AE356" s="949"/>
      <c r="AF356" s="949"/>
      <c r="AH356" s="530"/>
    </row>
    <row r="357" spans="1:34" ht="12.75">
      <c r="A357" s="738"/>
      <c r="B357" s="791" t="s">
        <v>441</v>
      </c>
      <c r="C357" s="792"/>
      <c r="D357" s="792"/>
      <c r="E357" s="792"/>
      <c r="F357" s="792"/>
      <c r="G357" s="792"/>
      <c r="H357" s="793"/>
      <c r="I357" s="827"/>
      <c r="J357" s="828"/>
      <c r="K357" s="828"/>
      <c r="L357" s="828"/>
      <c r="M357" s="829"/>
      <c r="N357" s="839" t="s">
        <v>438</v>
      </c>
      <c r="O357" s="840"/>
      <c r="P357" s="840"/>
      <c r="Q357" s="840"/>
      <c r="R357" s="841"/>
      <c r="S357" s="839" t="s">
        <v>439</v>
      </c>
      <c r="T357" s="840"/>
      <c r="U357" s="840"/>
      <c r="V357" s="840"/>
      <c r="W357" s="841"/>
      <c r="X357" s="516"/>
      <c r="AA357" s="952"/>
      <c r="AE357" s="949"/>
      <c r="AF357" s="949"/>
      <c r="AH357" s="530"/>
    </row>
    <row r="358" spans="1:34" ht="12.75" customHeight="1">
      <c r="A358" s="738"/>
      <c r="B358" s="791"/>
      <c r="C358" s="792"/>
      <c r="D358" s="792"/>
      <c r="E358" s="792"/>
      <c r="F358" s="792"/>
      <c r="G358" s="792"/>
      <c r="H358" s="793"/>
      <c r="I358" s="827"/>
      <c r="J358" s="828"/>
      <c r="K358" s="828"/>
      <c r="L358" s="828"/>
      <c r="M358" s="829"/>
      <c r="N358" s="839" t="s">
        <v>437</v>
      </c>
      <c r="O358" s="840"/>
      <c r="P358" s="840"/>
      <c r="Q358" s="840"/>
      <c r="R358" s="841"/>
      <c r="S358" s="839" t="s">
        <v>440</v>
      </c>
      <c r="T358" s="840"/>
      <c r="U358" s="840"/>
      <c r="V358" s="840"/>
      <c r="W358" s="841"/>
      <c r="X358" s="516"/>
      <c r="AA358" s="952"/>
      <c r="AE358" s="949"/>
      <c r="AF358" s="949"/>
      <c r="AH358" s="530"/>
    </row>
    <row r="359" spans="1:34" ht="27.75" customHeight="1">
      <c r="A359" s="738"/>
      <c r="B359" s="791"/>
      <c r="C359" s="792"/>
      <c r="D359" s="792"/>
      <c r="E359" s="792"/>
      <c r="F359" s="792"/>
      <c r="G359" s="792"/>
      <c r="H359" s="793"/>
      <c r="I359" s="926"/>
      <c r="J359" s="927"/>
      <c r="K359" s="927"/>
      <c r="L359" s="927"/>
      <c r="M359" s="928"/>
      <c r="N359" s="1004" t="s">
        <v>436</v>
      </c>
      <c r="O359" s="1005"/>
      <c r="P359" s="1005"/>
      <c r="Q359" s="1005"/>
      <c r="R359" s="1006"/>
      <c r="S359" s="875"/>
      <c r="T359" s="876"/>
      <c r="U359" s="876"/>
      <c r="V359" s="876"/>
      <c r="W359" s="877"/>
      <c r="X359" s="516"/>
      <c r="Y359" s="13"/>
      <c r="Z359" s="255"/>
      <c r="AA359" s="952"/>
      <c r="AB359" s="291"/>
      <c r="AC359" s="13"/>
      <c r="AD359" s="13"/>
      <c r="AE359" s="949"/>
      <c r="AF359" s="949"/>
      <c r="AH359" s="530"/>
    </row>
    <row r="360" spans="1:34" ht="12.75" customHeight="1">
      <c r="A360" s="738"/>
      <c r="B360" s="791"/>
      <c r="C360" s="792"/>
      <c r="D360" s="792"/>
      <c r="E360" s="792"/>
      <c r="F360" s="792"/>
      <c r="G360" s="792"/>
      <c r="H360" s="793"/>
      <c r="I360" s="724">
        <f>IF(Y361=0,IF(FIO="","",0),"")</f>
      </c>
      <c r="J360" s="724"/>
      <c r="K360" s="724"/>
      <c r="L360" s="724"/>
      <c r="M360" s="724"/>
      <c r="N360" s="725"/>
      <c r="O360" s="725"/>
      <c r="P360" s="725"/>
      <c r="Q360" s="725"/>
      <c r="R360" s="725"/>
      <c r="S360" s="725"/>
      <c r="T360" s="725"/>
      <c r="U360" s="725"/>
      <c r="V360" s="725"/>
      <c r="W360" s="725"/>
      <c r="X360" s="516"/>
      <c r="Z360" s="263" t="s">
        <v>209</v>
      </c>
      <c r="AA360" s="952"/>
      <c r="AE360" s="949"/>
      <c r="AF360" s="949"/>
      <c r="AH360" s="530"/>
    </row>
    <row r="361" spans="1:34" ht="12.75" customHeight="1">
      <c r="A361" s="739"/>
      <c r="B361" s="794"/>
      <c r="C361" s="795"/>
      <c r="D361" s="795"/>
      <c r="E361" s="795"/>
      <c r="F361" s="795"/>
      <c r="G361" s="795"/>
      <c r="H361" s="796"/>
      <c r="I361" s="724"/>
      <c r="J361" s="724"/>
      <c r="K361" s="724"/>
      <c r="L361" s="724"/>
      <c r="M361" s="724"/>
      <c r="N361" s="725"/>
      <c r="O361" s="725"/>
      <c r="P361" s="725"/>
      <c r="Q361" s="725"/>
      <c r="R361" s="725"/>
      <c r="S361" s="725"/>
      <c r="T361" s="725"/>
      <c r="U361" s="725"/>
      <c r="V361" s="725"/>
      <c r="W361" s="725"/>
      <c r="X361" s="516"/>
      <c r="Y361" s="279">
        <f>SUM(N360:W361)</f>
        <v>0</v>
      </c>
      <c r="Z361" s="265">
        <v>100</v>
      </c>
      <c r="AA361" s="952"/>
      <c r="AE361" s="949"/>
      <c r="AF361" s="949"/>
      <c r="AH361" s="530"/>
    </row>
    <row r="362" spans="24:34" ht="6.75" customHeight="1">
      <c r="X362" s="516"/>
      <c r="AA362" s="212"/>
      <c r="AB362" s="212"/>
      <c r="AC362" s="212"/>
      <c r="AH362" s="530"/>
    </row>
    <row r="363" spans="1:34" ht="13.5">
      <c r="A363" s="275" t="s">
        <v>244</v>
      </c>
      <c r="B363" s="210" t="s">
        <v>245</v>
      </c>
      <c r="X363" s="516"/>
      <c r="AA363" s="212"/>
      <c r="AB363" s="212"/>
      <c r="AC363" s="212"/>
      <c r="AH363" s="530"/>
    </row>
    <row r="364" spans="1:34" ht="12.75" customHeight="1">
      <c r="A364" s="757" t="s">
        <v>204</v>
      </c>
      <c r="B364" s="939" t="s">
        <v>205</v>
      </c>
      <c r="C364" s="939"/>
      <c r="D364" s="939"/>
      <c r="E364" s="939"/>
      <c r="F364" s="766" t="s">
        <v>206</v>
      </c>
      <c r="G364" s="767"/>
      <c r="H364" s="767"/>
      <c r="I364" s="767"/>
      <c r="J364" s="767"/>
      <c r="K364" s="767"/>
      <c r="L364" s="767"/>
      <c r="M364" s="767"/>
      <c r="N364" s="767"/>
      <c r="O364" s="767"/>
      <c r="P364" s="767"/>
      <c r="Q364" s="767"/>
      <c r="R364" s="767"/>
      <c r="S364" s="767"/>
      <c r="T364" s="767"/>
      <c r="U364" s="767"/>
      <c r="V364" s="767"/>
      <c r="W364" s="768"/>
      <c r="X364" s="516"/>
      <c r="AA364" s="212"/>
      <c r="AH364" s="530"/>
    </row>
    <row r="365" spans="1:34" ht="12.75" customHeight="1">
      <c r="A365" s="758"/>
      <c r="B365" s="939"/>
      <c r="C365" s="939"/>
      <c r="D365" s="939"/>
      <c r="E365" s="939"/>
      <c r="F365" s="769" t="s">
        <v>207</v>
      </c>
      <c r="G365" s="770"/>
      <c r="H365" s="770"/>
      <c r="I365" s="770"/>
      <c r="J365" s="770"/>
      <c r="K365" s="770"/>
      <c r="L365" s="770"/>
      <c r="M365" s="770"/>
      <c r="N365" s="770"/>
      <c r="O365" s="770"/>
      <c r="P365" s="770"/>
      <c r="Q365" s="770"/>
      <c r="R365" s="770"/>
      <c r="S365" s="770"/>
      <c r="T365" s="770"/>
      <c r="U365" s="770"/>
      <c r="V365" s="770"/>
      <c r="W365" s="771"/>
      <c r="X365" s="516"/>
      <c r="AA365" s="212"/>
      <c r="AH365" s="530"/>
    </row>
    <row r="366" spans="1:34" ht="15" customHeight="1">
      <c r="A366" s="759"/>
      <c r="B366" s="939"/>
      <c r="C366" s="939"/>
      <c r="D366" s="939"/>
      <c r="E366" s="939"/>
      <c r="F366" s="929">
        <v>0</v>
      </c>
      <c r="G366" s="930"/>
      <c r="H366" s="929">
        <v>10</v>
      </c>
      <c r="I366" s="930"/>
      <c r="J366" s="931"/>
      <c r="K366" s="929" t="s">
        <v>214</v>
      </c>
      <c r="L366" s="930"/>
      <c r="M366" s="930"/>
      <c r="N366" s="930"/>
      <c r="O366" s="931"/>
      <c r="P366" s="1011" t="s">
        <v>215</v>
      </c>
      <c r="Q366" s="1012"/>
      <c r="R366" s="1012"/>
      <c r="S366" s="1012"/>
      <c r="T366" s="1013"/>
      <c r="U366" s="929">
        <v>10</v>
      </c>
      <c r="V366" s="930"/>
      <c r="W366" s="931"/>
      <c r="X366" s="516"/>
      <c r="AA366" s="212"/>
      <c r="AH366" s="530"/>
    </row>
    <row r="367" spans="1:34" ht="12.75" customHeight="1">
      <c r="A367" s="1020" t="s">
        <v>246</v>
      </c>
      <c r="B367" s="718" t="s">
        <v>448</v>
      </c>
      <c r="C367" s="719"/>
      <c r="D367" s="719"/>
      <c r="E367" s="720"/>
      <c r="F367" s="726" t="s">
        <v>247</v>
      </c>
      <c r="G367" s="727"/>
      <c r="H367" s="726" t="s">
        <v>446</v>
      </c>
      <c r="I367" s="727"/>
      <c r="J367" s="728"/>
      <c r="K367" s="729" t="s">
        <v>305</v>
      </c>
      <c r="L367" s="730"/>
      <c r="M367" s="730"/>
      <c r="N367" s="730"/>
      <c r="O367" s="731"/>
      <c r="P367" s="726" t="s">
        <v>363</v>
      </c>
      <c r="Q367" s="727"/>
      <c r="R367" s="727"/>
      <c r="S367" s="727"/>
      <c r="T367" s="728"/>
      <c r="U367" s="726" t="s">
        <v>447</v>
      </c>
      <c r="V367" s="727"/>
      <c r="W367" s="728"/>
      <c r="X367" s="516"/>
      <c r="Y367" s="13"/>
      <c r="AA367" s="13"/>
      <c r="AH367" s="530"/>
    </row>
    <row r="368" spans="1:34" ht="12.75" customHeight="1">
      <c r="A368" s="1021"/>
      <c r="B368" s="721"/>
      <c r="C368" s="722"/>
      <c r="D368" s="722"/>
      <c r="E368" s="723"/>
      <c r="F368" s="729"/>
      <c r="G368" s="730"/>
      <c r="H368" s="729"/>
      <c r="I368" s="730"/>
      <c r="J368" s="731"/>
      <c r="K368" s="729"/>
      <c r="L368" s="730"/>
      <c r="M368" s="730"/>
      <c r="N368" s="730"/>
      <c r="O368" s="731"/>
      <c r="P368" s="729"/>
      <c r="Q368" s="730"/>
      <c r="R368" s="730"/>
      <c r="S368" s="730"/>
      <c r="T368" s="731"/>
      <c r="U368" s="729"/>
      <c r="V368" s="730"/>
      <c r="W368" s="731"/>
      <c r="X368" s="516"/>
      <c r="Y368" s="13"/>
      <c r="AA368" s="13"/>
      <c r="AH368" s="530"/>
    </row>
    <row r="369" spans="1:34" ht="5.25" customHeight="1">
      <c r="A369" s="1021"/>
      <c r="B369" s="721"/>
      <c r="C369" s="722"/>
      <c r="D369" s="722"/>
      <c r="E369" s="723"/>
      <c r="F369" s="729"/>
      <c r="G369" s="730"/>
      <c r="H369" s="729"/>
      <c r="I369" s="730"/>
      <c r="J369" s="731"/>
      <c r="K369" s="729"/>
      <c r="L369" s="730"/>
      <c r="M369" s="730"/>
      <c r="N369" s="730"/>
      <c r="O369" s="731"/>
      <c r="P369" s="729"/>
      <c r="Q369" s="730"/>
      <c r="R369" s="730"/>
      <c r="S369" s="730"/>
      <c r="T369" s="731"/>
      <c r="U369" s="729"/>
      <c r="V369" s="730"/>
      <c r="W369" s="731"/>
      <c r="X369" s="516"/>
      <c r="Y369" s="13"/>
      <c r="AA369" s="13"/>
      <c r="AH369" s="530"/>
    </row>
    <row r="370" spans="1:34" ht="12.75" customHeight="1">
      <c r="A370" s="1021"/>
      <c r="B370" s="721"/>
      <c r="C370" s="722"/>
      <c r="D370" s="722"/>
      <c r="E370" s="723"/>
      <c r="F370" s="420"/>
      <c r="G370" s="421"/>
      <c r="H370" s="830"/>
      <c r="I370" s="831"/>
      <c r="J370" s="832"/>
      <c r="K370" s="830" t="s">
        <v>481</v>
      </c>
      <c r="L370" s="831"/>
      <c r="M370" s="831"/>
      <c r="N370" s="831"/>
      <c r="O370" s="832"/>
      <c r="P370" s="830" t="s">
        <v>482</v>
      </c>
      <c r="Q370" s="831"/>
      <c r="R370" s="831"/>
      <c r="S370" s="831"/>
      <c r="T370" s="832"/>
      <c r="U370" s="797"/>
      <c r="V370" s="932"/>
      <c r="W370" s="933"/>
      <c r="X370" s="516"/>
      <c r="Y370" s="13"/>
      <c r="AH370" s="530"/>
    </row>
    <row r="371" spans="1:34" ht="12.75" customHeight="1">
      <c r="A371" s="1021"/>
      <c r="B371" s="721"/>
      <c r="C371" s="722"/>
      <c r="D371" s="722"/>
      <c r="E371" s="723"/>
      <c r="F371" s="420"/>
      <c r="G371" s="421"/>
      <c r="H371" s="830"/>
      <c r="I371" s="831"/>
      <c r="J371" s="832"/>
      <c r="K371" s="830"/>
      <c r="L371" s="831"/>
      <c r="M371" s="831"/>
      <c r="N371" s="831"/>
      <c r="O371" s="832"/>
      <c r="P371" s="830"/>
      <c r="Q371" s="831"/>
      <c r="R371" s="831"/>
      <c r="S371" s="831"/>
      <c r="T371" s="832"/>
      <c r="U371" s="797"/>
      <c r="V371" s="932"/>
      <c r="W371" s="933"/>
      <c r="X371" s="516"/>
      <c r="Y371" s="13"/>
      <c r="AH371" s="530"/>
    </row>
    <row r="372" spans="1:34" ht="12.75" customHeight="1">
      <c r="A372" s="1021"/>
      <c r="B372" s="721"/>
      <c r="C372" s="722"/>
      <c r="D372" s="722"/>
      <c r="E372" s="723"/>
      <c r="F372" s="420"/>
      <c r="G372" s="421"/>
      <c r="H372" s="830"/>
      <c r="I372" s="831"/>
      <c r="J372" s="832"/>
      <c r="K372" s="815" t="s">
        <v>444</v>
      </c>
      <c r="L372" s="816"/>
      <c r="M372" s="816"/>
      <c r="N372" s="816"/>
      <c r="O372" s="817"/>
      <c r="P372" s="815" t="s">
        <v>445</v>
      </c>
      <c r="Q372" s="816"/>
      <c r="R372" s="816"/>
      <c r="S372" s="816"/>
      <c r="T372" s="817"/>
      <c r="U372" s="797"/>
      <c r="V372" s="932"/>
      <c r="W372" s="933"/>
      <c r="X372" s="516"/>
      <c r="Y372" s="13"/>
      <c r="AH372" s="530"/>
    </row>
    <row r="373" spans="1:34" ht="12.75" customHeight="1">
      <c r="A373" s="1021"/>
      <c r="B373" s="721"/>
      <c r="C373" s="722"/>
      <c r="D373" s="722"/>
      <c r="E373" s="723"/>
      <c r="F373" s="422"/>
      <c r="G373" s="423"/>
      <c r="H373" s="1058"/>
      <c r="I373" s="1059"/>
      <c r="J373" s="1060"/>
      <c r="K373" s="812"/>
      <c r="L373" s="813"/>
      <c r="M373" s="813"/>
      <c r="N373" s="813"/>
      <c r="O373" s="814"/>
      <c r="P373" s="812"/>
      <c r="Q373" s="813"/>
      <c r="R373" s="813"/>
      <c r="S373" s="813"/>
      <c r="T373" s="814"/>
      <c r="U373" s="934"/>
      <c r="V373" s="935"/>
      <c r="W373" s="936"/>
      <c r="X373" s="516"/>
      <c r="Y373" s="13"/>
      <c r="AH373" s="530"/>
    </row>
    <row r="374" spans="1:34" ht="12.75" customHeight="1">
      <c r="A374" s="1021"/>
      <c r="B374" s="791" t="str">
        <f>B291</f>
        <v>(далее – Прил. № 4)</v>
      </c>
      <c r="C374" s="792"/>
      <c r="D374" s="792"/>
      <c r="E374" s="793"/>
      <c r="F374" s="782">
        <f>IF(Y375=0,IF(FIO="","",0),"")</f>
      </c>
      <c r="G374" s="783"/>
      <c r="H374" s="806"/>
      <c r="I374" s="807"/>
      <c r="J374" s="808"/>
      <c r="K374" s="836"/>
      <c r="L374" s="837"/>
      <c r="M374" s="837"/>
      <c r="N374" s="837"/>
      <c r="O374" s="838"/>
      <c r="P374" s="836"/>
      <c r="Q374" s="837"/>
      <c r="R374" s="837"/>
      <c r="S374" s="837"/>
      <c r="T374" s="838"/>
      <c r="U374" s="806"/>
      <c r="V374" s="807"/>
      <c r="W374" s="808"/>
      <c r="X374" s="516"/>
      <c r="Z374" s="263" t="s">
        <v>209</v>
      </c>
      <c r="AA374" s="264" t="s">
        <v>281</v>
      </c>
      <c r="AE374" s="569" t="s">
        <v>3</v>
      </c>
      <c r="AF374" s="570" t="s">
        <v>2</v>
      </c>
      <c r="AH374" s="530"/>
    </row>
    <row r="375" spans="1:34" ht="12.75" customHeight="1">
      <c r="A375" s="1022"/>
      <c r="B375" s="794"/>
      <c r="C375" s="795"/>
      <c r="D375" s="795"/>
      <c r="E375" s="796"/>
      <c r="F375" s="788"/>
      <c r="G375" s="789"/>
      <c r="H375" s="809"/>
      <c r="I375" s="810"/>
      <c r="J375" s="811"/>
      <c r="K375" s="809"/>
      <c r="L375" s="810"/>
      <c r="M375" s="810"/>
      <c r="N375" s="810"/>
      <c r="O375" s="811"/>
      <c r="P375" s="809"/>
      <c r="Q375" s="810"/>
      <c r="R375" s="810"/>
      <c r="S375" s="810"/>
      <c r="T375" s="811"/>
      <c r="U375" s="809"/>
      <c r="V375" s="810"/>
      <c r="W375" s="811"/>
      <c r="X375" s="516"/>
      <c r="Y375" s="279">
        <f>MAX(H374:W375)</f>
        <v>0</v>
      </c>
      <c r="Z375" s="265">
        <v>60</v>
      </c>
      <c r="AA375" s="282">
        <f>IF(z_kateg="высшая",AE375,AF375)</f>
        <v>10</v>
      </c>
      <c r="AE375" s="571">
        <v>30</v>
      </c>
      <c r="AF375" s="572">
        <v>10</v>
      </c>
      <c r="AH375" s="530"/>
    </row>
    <row r="376" spans="24:34" ht="6.75" customHeight="1">
      <c r="X376" s="516"/>
      <c r="AA376" s="212"/>
      <c r="AB376" s="212"/>
      <c r="AC376" s="212"/>
      <c r="AH376" s="530"/>
    </row>
    <row r="377" spans="1:34" ht="13.5">
      <c r="A377" s="275" t="s">
        <v>248</v>
      </c>
      <c r="B377" s="210" t="s">
        <v>249</v>
      </c>
      <c r="X377" s="516"/>
      <c r="AA377" s="212"/>
      <c r="AB377" s="212"/>
      <c r="AC377" s="212"/>
      <c r="AH377" s="530"/>
    </row>
    <row r="378" spans="1:34" ht="13.5">
      <c r="A378" s="757" t="s">
        <v>204</v>
      </c>
      <c r="B378" s="760" t="s">
        <v>205</v>
      </c>
      <c r="C378" s="761"/>
      <c r="D378" s="761"/>
      <c r="E378" s="761"/>
      <c r="F378" s="761"/>
      <c r="G378" s="761"/>
      <c r="H378" s="761"/>
      <c r="I378" s="761"/>
      <c r="J378" s="761"/>
      <c r="K378" s="862"/>
      <c r="L378" s="766" t="s">
        <v>206</v>
      </c>
      <c r="M378" s="767"/>
      <c r="N378" s="767"/>
      <c r="O378" s="767"/>
      <c r="P378" s="767"/>
      <c r="Q378" s="767"/>
      <c r="R378" s="767"/>
      <c r="S378" s="767"/>
      <c r="T378" s="767"/>
      <c r="U378" s="767"/>
      <c r="V378" s="767"/>
      <c r="W378" s="768"/>
      <c r="X378" s="516"/>
      <c r="AH378" s="530"/>
    </row>
    <row r="379" spans="1:34" ht="14.25" customHeight="1">
      <c r="A379" s="758"/>
      <c r="B379" s="762"/>
      <c r="C379" s="763"/>
      <c r="D379" s="763"/>
      <c r="E379" s="763"/>
      <c r="F379" s="763"/>
      <c r="G379" s="763"/>
      <c r="H379" s="763"/>
      <c r="I379" s="763"/>
      <c r="J379" s="763"/>
      <c r="K379" s="863"/>
      <c r="L379" s="769" t="s">
        <v>207</v>
      </c>
      <c r="M379" s="770"/>
      <c r="N379" s="770"/>
      <c r="O379" s="770"/>
      <c r="P379" s="770"/>
      <c r="Q379" s="770"/>
      <c r="R379" s="770"/>
      <c r="S379" s="770"/>
      <c r="T379" s="770"/>
      <c r="U379" s="770"/>
      <c r="V379" s="770"/>
      <c r="W379" s="771"/>
      <c r="X379" s="516"/>
      <c r="AH379" s="530"/>
    </row>
    <row r="380" spans="1:34" ht="14.25" customHeight="1">
      <c r="A380" s="759"/>
      <c r="B380" s="764"/>
      <c r="C380" s="765"/>
      <c r="D380" s="765"/>
      <c r="E380" s="765"/>
      <c r="F380" s="765"/>
      <c r="G380" s="765"/>
      <c r="H380" s="765"/>
      <c r="I380" s="765"/>
      <c r="J380" s="765"/>
      <c r="K380" s="864"/>
      <c r="L380" s="929">
        <v>0</v>
      </c>
      <c r="M380" s="930"/>
      <c r="N380" s="930"/>
      <c r="O380" s="931"/>
      <c r="P380" s="929">
        <v>20</v>
      </c>
      <c r="Q380" s="930"/>
      <c r="R380" s="930"/>
      <c r="S380" s="931"/>
      <c r="T380" s="821">
        <v>30</v>
      </c>
      <c r="U380" s="822"/>
      <c r="V380" s="822"/>
      <c r="W380" s="823"/>
      <c r="X380" s="516"/>
      <c r="AH380" s="530"/>
    </row>
    <row r="381" spans="1:34" ht="12.75" customHeight="1">
      <c r="A381" s="261" t="s">
        <v>250</v>
      </c>
      <c r="B381" s="718" t="s">
        <v>594</v>
      </c>
      <c r="C381" s="719"/>
      <c r="D381" s="719"/>
      <c r="E381" s="719"/>
      <c r="F381" s="719"/>
      <c r="G381" s="719"/>
      <c r="H381" s="719"/>
      <c r="I381" s="719"/>
      <c r="J381" s="719"/>
      <c r="K381" s="720"/>
      <c r="L381" s="866" t="s">
        <v>366</v>
      </c>
      <c r="M381" s="867"/>
      <c r="N381" s="867"/>
      <c r="O381" s="868"/>
      <c r="P381" s="726" t="s">
        <v>367</v>
      </c>
      <c r="Q381" s="727"/>
      <c r="R381" s="727"/>
      <c r="S381" s="728"/>
      <c r="T381" s="726" t="s">
        <v>451</v>
      </c>
      <c r="U381" s="727"/>
      <c r="V381" s="727"/>
      <c r="W381" s="728"/>
      <c r="X381" s="516"/>
      <c r="Y381" s="13"/>
      <c r="AA381" s="13"/>
      <c r="AB381" s="13"/>
      <c r="AC381" s="13"/>
      <c r="AH381" s="530"/>
    </row>
    <row r="382" spans="1:34" ht="12.75" customHeight="1">
      <c r="A382" s="312"/>
      <c r="B382" s="721"/>
      <c r="C382" s="722"/>
      <c r="D382" s="722"/>
      <c r="E382" s="722"/>
      <c r="F382" s="722"/>
      <c r="G382" s="722"/>
      <c r="H382" s="722"/>
      <c r="I382" s="722"/>
      <c r="J382" s="722"/>
      <c r="K382" s="723"/>
      <c r="L382" s="869"/>
      <c r="M382" s="870"/>
      <c r="N382" s="870"/>
      <c r="O382" s="871"/>
      <c r="P382" s="729"/>
      <c r="Q382" s="730"/>
      <c r="R382" s="730"/>
      <c r="S382" s="731"/>
      <c r="T382" s="729"/>
      <c r="U382" s="730"/>
      <c r="V382" s="730"/>
      <c r="W382" s="731"/>
      <c r="X382" s="516"/>
      <c r="Y382" s="13"/>
      <c r="AA382" s="13"/>
      <c r="AB382" s="13"/>
      <c r="AC382" s="13"/>
      <c r="AH382" s="530"/>
    </row>
    <row r="383" spans="1:34" ht="5.25" customHeight="1">
      <c r="A383" s="289"/>
      <c r="B383" s="721"/>
      <c r="C383" s="722"/>
      <c r="D383" s="722"/>
      <c r="E383" s="722"/>
      <c r="F383" s="722"/>
      <c r="G383" s="722"/>
      <c r="H383" s="722"/>
      <c r="I383" s="722"/>
      <c r="J383" s="722"/>
      <c r="K383" s="723"/>
      <c r="L383" s="869"/>
      <c r="M383" s="870"/>
      <c r="N383" s="870"/>
      <c r="O383" s="871"/>
      <c r="P383" s="729"/>
      <c r="Q383" s="730"/>
      <c r="R383" s="730"/>
      <c r="S383" s="731"/>
      <c r="T383" s="729"/>
      <c r="U383" s="730"/>
      <c r="V383" s="730"/>
      <c r="W383" s="731"/>
      <c r="X383" s="516"/>
      <c r="Y383" s="13"/>
      <c r="AA383" s="13"/>
      <c r="AB383" s="13"/>
      <c r="AC383" s="13"/>
      <c r="AH383" s="530"/>
    </row>
    <row r="384" spans="1:34" ht="14.25" customHeight="1">
      <c r="A384" s="290"/>
      <c r="B384" s="745" t="s">
        <v>316</v>
      </c>
      <c r="C384" s="746"/>
      <c r="D384" s="746"/>
      <c r="E384" s="746"/>
      <c r="F384" s="746"/>
      <c r="G384" s="746"/>
      <c r="H384" s="746"/>
      <c r="I384" s="746"/>
      <c r="J384" s="746"/>
      <c r="K384" s="747"/>
      <c r="L384" s="869"/>
      <c r="M384" s="870"/>
      <c r="N384" s="870"/>
      <c r="O384" s="871"/>
      <c r="P384" s="729"/>
      <c r="Q384" s="730"/>
      <c r="R384" s="730"/>
      <c r="S384" s="731"/>
      <c r="T384" s="729"/>
      <c r="U384" s="730"/>
      <c r="V384" s="730"/>
      <c r="W384" s="731"/>
      <c r="X384" s="516"/>
      <c r="Y384" s="13"/>
      <c r="AA384" s="13"/>
      <c r="AB384" s="13"/>
      <c r="AC384" s="13"/>
      <c r="AH384" s="530"/>
    </row>
    <row r="385" spans="1:34" ht="12.75" customHeight="1">
      <c r="A385" s="289"/>
      <c r="B385" s="843" t="s">
        <v>365</v>
      </c>
      <c r="C385" s="844"/>
      <c r="D385" s="844"/>
      <c r="E385" s="844"/>
      <c r="F385" s="844"/>
      <c r="G385" s="844"/>
      <c r="H385" s="844"/>
      <c r="I385" s="844"/>
      <c r="J385" s="844"/>
      <c r="K385" s="845"/>
      <c r="L385" s="869"/>
      <c r="M385" s="870"/>
      <c r="N385" s="870"/>
      <c r="O385" s="871"/>
      <c r="P385" s="729"/>
      <c r="Q385" s="730"/>
      <c r="R385" s="730"/>
      <c r="S385" s="731"/>
      <c r="T385" s="729"/>
      <c r="U385" s="730"/>
      <c r="V385" s="730"/>
      <c r="W385" s="731"/>
      <c r="X385" s="516"/>
      <c r="Y385" s="13"/>
      <c r="AH385" s="530"/>
    </row>
    <row r="386" spans="1:34" ht="12.75">
      <c r="A386" s="305"/>
      <c r="B386" s="843"/>
      <c r="C386" s="844"/>
      <c r="D386" s="844"/>
      <c r="E386" s="844"/>
      <c r="F386" s="844"/>
      <c r="G386" s="844"/>
      <c r="H386" s="844"/>
      <c r="I386" s="844"/>
      <c r="J386" s="844"/>
      <c r="K386" s="845"/>
      <c r="L386" s="782">
        <f>IF(SUM(P386:W387)=0,IF(FIO="","",0),"")</f>
      </c>
      <c r="M386" s="783"/>
      <c r="N386" s="783"/>
      <c r="O386" s="784"/>
      <c r="P386" s="725"/>
      <c r="Q386" s="725"/>
      <c r="R386" s="725"/>
      <c r="S386" s="725"/>
      <c r="T386" s="725"/>
      <c r="U386" s="725"/>
      <c r="V386" s="725"/>
      <c r="W386" s="725"/>
      <c r="X386" s="516"/>
      <c r="Z386" s="263" t="s">
        <v>209</v>
      </c>
      <c r="AA386" s="264" t="s">
        <v>281</v>
      </c>
      <c r="AE386" s="569" t="s">
        <v>3</v>
      </c>
      <c r="AF386" s="570" t="s">
        <v>2</v>
      </c>
      <c r="AH386" s="530"/>
    </row>
    <row r="387" spans="1:34" ht="12.75">
      <c r="A387" s="306"/>
      <c r="B387" s="846"/>
      <c r="C387" s="847"/>
      <c r="D387" s="847"/>
      <c r="E387" s="847"/>
      <c r="F387" s="847"/>
      <c r="G387" s="847"/>
      <c r="H387" s="847"/>
      <c r="I387" s="847"/>
      <c r="J387" s="847"/>
      <c r="K387" s="848"/>
      <c r="L387" s="788"/>
      <c r="M387" s="789"/>
      <c r="N387" s="789"/>
      <c r="O387" s="790"/>
      <c r="P387" s="725"/>
      <c r="Q387" s="725"/>
      <c r="R387" s="725"/>
      <c r="S387" s="725"/>
      <c r="T387" s="725"/>
      <c r="U387" s="725"/>
      <c r="V387" s="725"/>
      <c r="W387" s="725"/>
      <c r="X387" s="516"/>
      <c r="Y387" s="279">
        <f>MAX(P386:W387)</f>
        <v>0</v>
      </c>
      <c r="Z387" s="265">
        <v>30</v>
      </c>
      <c r="AA387" s="282">
        <f>IF(z_kateg="высшая",AE387,AF387)</f>
        <v>0</v>
      </c>
      <c r="AE387" s="571">
        <v>0</v>
      </c>
      <c r="AF387" s="572">
        <v>0</v>
      </c>
      <c r="AH387" s="530"/>
    </row>
    <row r="388" spans="1:34" ht="14.25">
      <c r="A388" s="757" t="s">
        <v>204</v>
      </c>
      <c r="B388" s="760" t="s">
        <v>205</v>
      </c>
      <c r="C388" s="761"/>
      <c r="D388" s="761"/>
      <c r="E388" s="761"/>
      <c r="F388" s="761"/>
      <c r="G388" s="761"/>
      <c r="H388" s="761"/>
      <c r="I388" s="761"/>
      <c r="J388" s="761"/>
      <c r="K388" s="862"/>
      <c r="L388" s="766" t="s">
        <v>206</v>
      </c>
      <c r="M388" s="767"/>
      <c r="N388" s="767"/>
      <c r="O388" s="767"/>
      <c r="P388" s="767"/>
      <c r="Q388" s="767"/>
      <c r="R388" s="767"/>
      <c r="S388" s="767"/>
      <c r="T388" s="767"/>
      <c r="U388" s="767"/>
      <c r="V388" s="767"/>
      <c r="W388" s="768"/>
      <c r="X388" s="516"/>
      <c r="AH388" s="530"/>
    </row>
    <row r="389" spans="1:34" ht="14.25" customHeight="1">
      <c r="A389" s="758"/>
      <c r="B389" s="762"/>
      <c r="C389" s="763"/>
      <c r="D389" s="763"/>
      <c r="E389" s="763"/>
      <c r="F389" s="763"/>
      <c r="G389" s="763"/>
      <c r="H389" s="763"/>
      <c r="I389" s="763"/>
      <c r="J389" s="763"/>
      <c r="K389" s="863"/>
      <c r="L389" s="769" t="s">
        <v>207</v>
      </c>
      <c r="M389" s="770"/>
      <c r="N389" s="770"/>
      <c r="O389" s="770"/>
      <c r="P389" s="770"/>
      <c r="Q389" s="770"/>
      <c r="R389" s="770"/>
      <c r="S389" s="770"/>
      <c r="T389" s="770"/>
      <c r="U389" s="770"/>
      <c r="V389" s="770"/>
      <c r="W389" s="771"/>
      <c r="X389" s="516"/>
      <c r="AH389" s="530"/>
    </row>
    <row r="390" spans="1:34" ht="14.25" customHeight="1">
      <c r="A390" s="759"/>
      <c r="B390" s="764"/>
      <c r="C390" s="765"/>
      <c r="D390" s="765"/>
      <c r="E390" s="765"/>
      <c r="F390" s="765"/>
      <c r="G390" s="765"/>
      <c r="H390" s="765"/>
      <c r="I390" s="765"/>
      <c r="J390" s="765"/>
      <c r="K390" s="864"/>
      <c r="L390" s="929">
        <v>0</v>
      </c>
      <c r="M390" s="930"/>
      <c r="N390" s="930"/>
      <c r="O390" s="931"/>
      <c r="P390" s="929">
        <v>30</v>
      </c>
      <c r="Q390" s="930"/>
      <c r="R390" s="930"/>
      <c r="S390" s="931"/>
      <c r="T390" s="821">
        <v>50</v>
      </c>
      <c r="U390" s="822"/>
      <c r="V390" s="822"/>
      <c r="W390" s="823"/>
      <c r="X390" s="516"/>
      <c r="AH390" s="530"/>
    </row>
    <row r="391" spans="1:34" ht="12.75" customHeight="1">
      <c r="A391" s="261" t="s">
        <v>251</v>
      </c>
      <c r="B391" s="718" t="s">
        <v>364</v>
      </c>
      <c r="C391" s="719"/>
      <c r="D391" s="719"/>
      <c r="E391" s="719"/>
      <c r="F391" s="719"/>
      <c r="G391" s="719"/>
      <c r="H391" s="719"/>
      <c r="I391" s="719"/>
      <c r="J391" s="719"/>
      <c r="K391" s="720"/>
      <c r="L391" s="866" t="s">
        <v>302</v>
      </c>
      <c r="M391" s="867"/>
      <c r="N391" s="867"/>
      <c r="O391" s="868"/>
      <c r="P391" s="726" t="s">
        <v>252</v>
      </c>
      <c r="Q391" s="727"/>
      <c r="R391" s="727"/>
      <c r="S391" s="728"/>
      <c r="T391" s="726" t="s">
        <v>253</v>
      </c>
      <c r="U391" s="727"/>
      <c r="V391" s="727"/>
      <c r="W391" s="728"/>
      <c r="X391" s="516"/>
      <c r="Y391" s="13"/>
      <c r="AA391" s="13"/>
      <c r="AB391" s="13"/>
      <c r="AC391" s="13"/>
      <c r="AH391" s="530"/>
    </row>
    <row r="392" spans="1:34" ht="9.75" customHeight="1">
      <c r="A392" s="289"/>
      <c r="B392" s="721"/>
      <c r="C392" s="722"/>
      <c r="D392" s="722"/>
      <c r="E392" s="722"/>
      <c r="F392" s="722"/>
      <c r="G392" s="722"/>
      <c r="H392" s="722"/>
      <c r="I392" s="722"/>
      <c r="J392" s="722"/>
      <c r="K392" s="723"/>
      <c r="L392" s="869"/>
      <c r="M392" s="870"/>
      <c r="N392" s="870"/>
      <c r="O392" s="871"/>
      <c r="P392" s="729"/>
      <c r="Q392" s="730"/>
      <c r="R392" s="730"/>
      <c r="S392" s="731"/>
      <c r="T392" s="729"/>
      <c r="U392" s="730"/>
      <c r="V392" s="730"/>
      <c r="W392" s="731"/>
      <c r="X392" s="516"/>
      <c r="Y392" s="13"/>
      <c r="AA392" s="13"/>
      <c r="AB392" s="13"/>
      <c r="AC392" s="13"/>
      <c r="AH392" s="530"/>
    </row>
    <row r="393" spans="1:34" ht="14.25" customHeight="1">
      <c r="A393" s="290"/>
      <c r="B393" s="745" t="s">
        <v>316</v>
      </c>
      <c r="C393" s="746"/>
      <c r="D393" s="746"/>
      <c r="E393" s="746"/>
      <c r="F393" s="746"/>
      <c r="G393" s="746"/>
      <c r="H393" s="746"/>
      <c r="I393" s="746"/>
      <c r="J393" s="746"/>
      <c r="K393" s="747"/>
      <c r="L393" s="869"/>
      <c r="M393" s="870"/>
      <c r="N393" s="870"/>
      <c r="O393" s="871"/>
      <c r="P393" s="729"/>
      <c r="Q393" s="730"/>
      <c r="R393" s="730"/>
      <c r="S393" s="731"/>
      <c r="T393" s="729"/>
      <c r="U393" s="730"/>
      <c r="V393" s="730"/>
      <c r="W393" s="731"/>
      <c r="X393" s="516"/>
      <c r="Y393" s="13"/>
      <c r="AA393" s="13"/>
      <c r="AB393" s="13"/>
      <c r="AC393" s="13"/>
      <c r="AH393" s="530"/>
    </row>
    <row r="394" spans="1:34" ht="12.75" customHeight="1">
      <c r="A394" s="289"/>
      <c r="B394" s="843" t="s">
        <v>306</v>
      </c>
      <c r="C394" s="844"/>
      <c r="D394" s="844"/>
      <c r="E394" s="844"/>
      <c r="F394" s="844"/>
      <c r="G394" s="844"/>
      <c r="H394" s="844"/>
      <c r="I394" s="844"/>
      <c r="J394" s="844"/>
      <c r="K394" s="845"/>
      <c r="L394" s="869"/>
      <c r="M394" s="870"/>
      <c r="N394" s="870"/>
      <c r="O394" s="871"/>
      <c r="P394" s="729"/>
      <c r="Q394" s="730"/>
      <c r="R394" s="730"/>
      <c r="S394" s="731"/>
      <c r="T394" s="729"/>
      <c r="U394" s="730"/>
      <c r="V394" s="730"/>
      <c r="W394" s="731"/>
      <c r="X394" s="516"/>
      <c r="Y394" s="13"/>
      <c r="AH394" s="530"/>
    </row>
    <row r="395" spans="1:34" ht="1.5" customHeight="1">
      <c r="A395" s="290"/>
      <c r="B395" s="843"/>
      <c r="C395" s="844"/>
      <c r="D395" s="844"/>
      <c r="E395" s="844"/>
      <c r="F395" s="844"/>
      <c r="G395" s="844"/>
      <c r="H395" s="844"/>
      <c r="I395" s="844"/>
      <c r="J395" s="844"/>
      <c r="K395" s="845"/>
      <c r="L395" s="967"/>
      <c r="M395" s="968"/>
      <c r="N395" s="968"/>
      <c r="O395" s="969"/>
      <c r="P395" s="740"/>
      <c r="Q395" s="741"/>
      <c r="R395" s="741"/>
      <c r="S395" s="742"/>
      <c r="T395" s="740"/>
      <c r="U395" s="741"/>
      <c r="V395" s="741"/>
      <c r="W395" s="742"/>
      <c r="X395" s="516"/>
      <c r="Y395" s="13"/>
      <c r="AH395" s="530"/>
    </row>
    <row r="396" spans="1:34" ht="12.75" customHeight="1">
      <c r="A396" s="305"/>
      <c r="B396" s="843"/>
      <c r="C396" s="844"/>
      <c r="D396" s="844"/>
      <c r="E396" s="844"/>
      <c r="F396" s="844"/>
      <c r="G396" s="844"/>
      <c r="H396" s="844"/>
      <c r="I396" s="844"/>
      <c r="J396" s="844"/>
      <c r="K396" s="845"/>
      <c r="L396" s="782">
        <f>IF(SUM(P396:W397)=0,IF(FIO="","",0),"")</f>
      </c>
      <c r="M396" s="783"/>
      <c r="N396" s="783"/>
      <c r="O396" s="784"/>
      <c r="P396" s="725"/>
      <c r="Q396" s="725"/>
      <c r="R396" s="725"/>
      <c r="S396" s="725"/>
      <c r="T396" s="725"/>
      <c r="U396" s="725"/>
      <c r="V396" s="725"/>
      <c r="W396" s="725"/>
      <c r="X396" s="516"/>
      <c r="Z396" s="263" t="s">
        <v>209</v>
      </c>
      <c r="AA396" s="264" t="s">
        <v>281</v>
      </c>
      <c r="AE396" s="569" t="s">
        <v>3</v>
      </c>
      <c r="AF396" s="570" t="s">
        <v>2</v>
      </c>
      <c r="AH396" s="530"/>
    </row>
    <row r="397" spans="1:34" ht="12.75" customHeight="1">
      <c r="A397" s="306"/>
      <c r="B397" s="846"/>
      <c r="C397" s="847"/>
      <c r="D397" s="847"/>
      <c r="E397" s="847"/>
      <c r="F397" s="847"/>
      <c r="G397" s="847"/>
      <c r="H397" s="847"/>
      <c r="I397" s="847"/>
      <c r="J397" s="847"/>
      <c r="K397" s="848"/>
      <c r="L397" s="788"/>
      <c r="M397" s="789"/>
      <c r="N397" s="789"/>
      <c r="O397" s="790"/>
      <c r="P397" s="725"/>
      <c r="Q397" s="725"/>
      <c r="R397" s="725"/>
      <c r="S397" s="725"/>
      <c r="T397" s="725"/>
      <c r="U397" s="725"/>
      <c r="V397" s="725"/>
      <c r="W397" s="725"/>
      <c r="X397" s="516"/>
      <c r="Y397" s="279">
        <f>MAX(P396:W397)</f>
        <v>0</v>
      </c>
      <c r="Z397" s="265">
        <v>50</v>
      </c>
      <c r="AA397" s="282">
        <f>IF(z_kateg="высшая",AE397,AF397)</f>
        <v>0</v>
      </c>
      <c r="AE397" s="571">
        <v>0</v>
      </c>
      <c r="AF397" s="572">
        <v>0</v>
      </c>
      <c r="AH397" s="530"/>
    </row>
    <row r="398" spans="1:34" ht="12.75" hidden="1">
      <c r="A398" s="5"/>
      <c r="X398" s="516"/>
      <c r="AH398" s="530"/>
    </row>
    <row r="399" spans="1:45" ht="14.25" customHeight="1" hidden="1">
      <c r="A399" s="387"/>
      <c r="B399" s="388"/>
      <c r="C399" s="388"/>
      <c r="D399" s="388"/>
      <c r="E399" s="388"/>
      <c r="F399" s="388"/>
      <c r="G399" s="388"/>
      <c r="H399" s="388"/>
      <c r="I399" s="388"/>
      <c r="J399" s="388"/>
      <c r="K399" s="388"/>
      <c r="L399" s="388"/>
      <c r="M399" s="388"/>
      <c r="N399" s="388"/>
      <c r="O399" s="388"/>
      <c r="P399" s="388"/>
      <c r="Q399" s="388"/>
      <c r="R399" s="388"/>
      <c r="S399" s="388"/>
      <c r="T399" s="388"/>
      <c r="U399" s="388"/>
      <c r="V399" s="388"/>
      <c r="W399" s="388"/>
      <c r="X399" s="516"/>
      <c r="Y399" s="387"/>
      <c r="Z399" s="387"/>
      <c r="AA399" s="387"/>
      <c r="AB399" s="387"/>
      <c r="AC399" s="387"/>
      <c r="AD399" s="387"/>
      <c r="AE399" s="576"/>
      <c r="AF399" s="576"/>
      <c r="AH399" s="530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34" ht="12.75">
      <c r="A400" s="292"/>
      <c r="B400" s="13"/>
      <c r="C400" s="13"/>
      <c r="D400" s="13"/>
      <c r="X400" s="516"/>
      <c r="AA400" s="263" t="s">
        <v>282</v>
      </c>
      <c r="AB400" s="263" t="s">
        <v>209</v>
      </c>
      <c r="AC400" s="263" t="s">
        <v>281</v>
      </c>
      <c r="AD400" s="300" t="s">
        <v>3</v>
      </c>
      <c r="AE400" s="570" t="s">
        <v>2</v>
      </c>
      <c r="AF400" s="573" t="s">
        <v>283</v>
      </c>
      <c r="AH400" s="530"/>
    </row>
    <row r="401" spans="1:34" ht="15">
      <c r="A401" s="262" t="s">
        <v>193</v>
      </c>
      <c r="B401" s="1014" t="s">
        <v>272</v>
      </c>
      <c r="C401" s="1014"/>
      <c r="D401" s="1014"/>
      <c r="E401" s="1014"/>
      <c r="F401" s="1014"/>
      <c r="G401" s="1014"/>
      <c r="H401" s="1014"/>
      <c r="I401" s="1014"/>
      <c r="J401" s="1014"/>
      <c r="X401" s="516"/>
      <c r="Y401" s="302" t="str">
        <f>A401</f>
        <v>4.</v>
      </c>
      <c r="Z401" s="283" t="s">
        <v>307</v>
      </c>
      <c r="AA401" s="280">
        <f>IF(Z404="нет",0,SUM(Y402:Y418))</f>
        <v>0</v>
      </c>
      <c r="AB401" s="281">
        <f>SUM(Z402:Z418)</f>
        <v>250</v>
      </c>
      <c r="AC401" s="296">
        <f>IF(G56="высшая",AD401,AE401)</f>
        <v>0</v>
      </c>
      <c r="AD401" s="297">
        <v>130</v>
      </c>
      <c r="AE401" s="572">
        <v>0</v>
      </c>
      <c r="AF401" s="577" t="b">
        <f>итого_4&gt;=AC401</f>
        <v>1</v>
      </c>
      <c r="AH401" s="530"/>
    </row>
    <row r="402" spans="24:34" ht="6.75" customHeight="1">
      <c r="X402" s="516"/>
      <c r="AH402" s="530"/>
    </row>
    <row r="403" spans="1:34" ht="14.25" customHeight="1">
      <c r="A403" s="757" t="s">
        <v>204</v>
      </c>
      <c r="B403" s="939" t="s">
        <v>205</v>
      </c>
      <c r="C403" s="939"/>
      <c r="D403" s="939"/>
      <c r="E403" s="939"/>
      <c r="F403" s="939"/>
      <c r="G403" s="939"/>
      <c r="H403" s="760" t="s">
        <v>206</v>
      </c>
      <c r="I403" s="761"/>
      <c r="J403" s="761"/>
      <c r="K403" s="761"/>
      <c r="L403" s="761"/>
      <c r="M403" s="761"/>
      <c r="N403" s="761"/>
      <c r="O403" s="761"/>
      <c r="P403" s="761"/>
      <c r="Q403" s="761"/>
      <c r="R403" s="761"/>
      <c r="S403" s="761"/>
      <c r="T403" s="761"/>
      <c r="U403" s="761"/>
      <c r="V403" s="761"/>
      <c r="W403" s="862"/>
      <c r="X403" s="516"/>
      <c r="Z403" s="5" t="s">
        <v>353</v>
      </c>
      <c r="AD403" s="372">
        <v>560</v>
      </c>
      <c r="AE403" s="578" t="s">
        <v>454</v>
      </c>
      <c r="AH403" s="530"/>
    </row>
    <row r="404" spans="1:34" ht="13.5" customHeight="1">
      <c r="A404" s="759"/>
      <c r="B404" s="939"/>
      <c r="C404" s="939"/>
      <c r="D404" s="939"/>
      <c r="E404" s="939"/>
      <c r="F404" s="939"/>
      <c r="G404" s="939"/>
      <c r="H404" s="764"/>
      <c r="I404" s="765"/>
      <c r="J404" s="765"/>
      <c r="K404" s="765"/>
      <c r="L404" s="765"/>
      <c r="M404" s="765"/>
      <c r="N404" s="765"/>
      <c r="O404" s="765"/>
      <c r="P404" s="765"/>
      <c r="Q404" s="765"/>
      <c r="R404" s="765"/>
      <c r="S404" s="765"/>
      <c r="T404" s="765"/>
      <c r="U404" s="765"/>
      <c r="V404" s="765"/>
      <c r="W404" s="864"/>
      <c r="X404" s="516"/>
      <c r="Z404" s="278" t="str">
        <f>'общие сведения'!G103</f>
        <v>нет</v>
      </c>
      <c r="AH404" s="530"/>
    </row>
    <row r="405" spans="1:34" ht="13.5" customHeight="1">
      <c r="A405" s="878" t="s">
        <v>273</v>
      </c>
      <c r="B405" s="879" t="s">
        <v>354</v>
      </c>
      <c r="C405" s="879"/>
      <c r="D405" s="879"/>
      <c r="E405" s="879"/>
      <c r="F405" s="879"/>
      <c r="G405" s="879"/>
      <c r="H405" s="717">
        <v>0</v>
      </c>
      <c r="I405" s="717"/>
      <c r="J405" s="717"/>
      <c r="K405" s="717"/>
      <c r="L405" s="717">
        <f>AC406</f>
        <v>50</v>
      </c>
      <c r="M405" s="717"/>
      <c r="N405" s="717"/>
      <c r="O405" s="717"/>
      <c r="P405" s="717">
        <f>AD406</f>
        <v>70</v>
      </c>
      <c r="Q405" s="717"/>
      <c r="R405" s="717"/>
      <c r="S405" s="717"/>
      <c r="T405" s="717">
        <f>AE406</f>
        <v>90</v>
      </c>
      <c r="U405" s="717"/>
      <c r="V405" s="717"/>
      <c r="W405" s="717"/>
      <c r="X405" s="516"/>
      <c r="AH405" s="530"/>
    </row>
    <row r="406" spans="1:34" ht="13.5" customHeight="1">
      <c r="A406" s="878"/>
      <c r="B406" s="879"/>
      <c r="C406" s="879"/>
      <c r="D406" s="879"/>
      <c r="E406" s="879"/>
      <c r="F406" s="879"/>
      <c r="G406" s="879"/>
      <c r="H406" s="880" t="s">
        <v>355</v>
      </c>
      <c r="I406" s="881"/>
      <c r="J406" s="881"/>
      <c r="K406" s="882"/>
      <c r="L406" s="880" t="s">
        <v>356</v>
      </c>
      <c r="M406" s="881"/>
      <c r="N406" s="881"/>
      <c r="O406" s="882"/>
      <c r="P406" s="880" t="s">
        <v>357</v>
      </c>
      <c r="Q406" s="881"/>
      <c r="R406" s="881"/>
      <c r="S406" s="882"/>
      <c r="T406" s="880" t="s">
        <v>358</v>
      </c>
      <c r="U406" s="881"/>
      <c r="V406" s="881"/>
      <c r="W406" s="882"/>
      <c r="X406" s="516"/>
      <c r="Z406" s="263" t="s">
        <v>209</v>
      </c>
      <c r="AA406" s="264" t="s">
        <v>281</v>
      </c>
      <c r="AC406" s="263">
        <v>50</v>
      </c>
      <c r="AD406" s="263">
        <v>70</v>
      </c>
      <c r="AE406" s="561">
        <v>90</v>
      </c>
      <c r="AH406" s="530"/>
    </row>
    <row r="407" spans="1:34" ht="13.5" customHeight="1">
      <c r="A407" s="878"/>
      <c r="B407" s="879"/>
      <c r="C407" s="879"/>
      <c r="D407" s="879"/>
      <c r="E407" s="879"/>
      <c r="F407" s="879"/>
      <c r="G407" s="879"/>
      <c r="H407" s="782" t="str">
        <f>IF(Y407=0,IF(OR(FIO="",Z404="нет"),"-",0),"")</f>
        <v>-</v>
      </c>
      <c r="I407" s="783"/>
      <c r="J407" s="783"/>
      <c r="K407" s="784"/>
      <c r="L407" s="883"/>
      <c r="M407" s="883"/>
      <c r="N407" s="883"/>
      <c r="O407" s="883"/>
      <c r="P407" s="883"/>
      <c r="Q407" s="883"/>
      <c r="R407" s="883"/>
      <c r="S407" s="883"/>
      <c r="T407" s="883"/>
      <c r="U407" s="883"/>
      <c r="V407" s="883"/>
      <c r="W407" s="883"/>
      <c r="X407" s="516"/>
      <c r="Y407" s="279">
        <f>MAX(L407:W408)</f>
        <v>0</v>
      </c>
      <c r="Z407" s="265">
        <v>90</v>
      </c>
      <c r="AA407" s="282">
        <v>50</v>
      </c>
      <c r="AC407" s="202" t="str">
        <f>IF($Z$404="нет","-",AC406)</f>
        <v>-</v>
      </c>
      <c r="AD407" s="202" t="str">
        <f>IF($Z$404="нет","-",AD406)</f>
        <v>-</v>
      </c>
      <c r="AE407" s="579" t="str">
        <f>IF($Z$404="нет","-",AE406)</f>
        <v>-</v>
      </c>
      <c r="AH407" s="530"/>
    </row>
    <row r="408" spans="1:34" ht="13.5" customHeight="1">
      <c r="A408" s="878"/>
      <c r="B408" s="879"/>
      <c r="C408" s="879"/>
      <c r="D408" s="879"/>
      <c r="E408" s="879"/>
      <c r="F408" s="879"/>
      <c r="G408" s="879"/>
      <c r="H408" s="788"/>
      <c r="I408" s="789"/>
      <c r="J408" s="789"/>
      <c r="K408" s="790"/>
      <c r="L408" s="725"/>
      <c r="M408" s="725"/>
      <c r="N408" s="725"/>
      <c r="O408" s="725"/>
      <c r="P408" s="725"/>
      <c r="Q408" s="725"/>
      <c r="R408" s="725"/>
      <c r="S408" s="725"/>
      <c r="T408" s="725"/>
      <c r="U408" s="725"/>
      <c r="V408" s="725"/>
      <c r="W408" s="725"/>
      <c r="X408" s="516"/>
      <c r="AH408" s="530"/>
    </row>
    <row r="409" spans="1:34" ht="13.5" customHeight="1">
      <c r="A409" s="878" t="s">
        <v>359</v>
      </c>
      <c r="B409" s="879" t="s">
        <v>360</v>
      </c>
      <c r="C409" s="879"/>
      <c r="D409" s="879"/>
      <c r="E409" s="879"/>
      <c r="F409" s="879"/>
      <c r="G409" s="879"/>
      <c r="H409" s="717">
        <v>0</v>
      </c>
      <c r="I409" s="717"/>
      <c r="J409" s="717"/>
      <c r="K409" s="717"/>
      <c r="L409" s="717">
        <f>AC409</f>
        <v>40</v>
      </c>
      <c r="M409" s="717"/>
      <c r="N409" s="717"/>
      <c r="O409" s="717"/>
      <c r="P409" s="717">
        <f>AD409</f>
        <v>60</v>
      </c>
      <c r="Q409" s="717"/>
      <c r="R409" s="717"/>
      <c r="S409" s="717"/>
      <c r="T409" s="717">
        <f>AE409</f>
        <v>80</v>
      </c>
      <c r="U409" s="717"/>
      <c r="V409" s="717"/>
      <c r="W409" s="717"/>
      <c r="X409" s="516"/>
      <c r="AC409" s="263">
        <v>40</v>
      </c>
      <c r="AD409" s="263">
        <v>60</v>
      </c>
      <c r="AE409" s="561">
        <v>80</v>
      </c>
      <c r="AH409" s="530"/>
    </row>
    <row r="410" spans="1:34" ht="13.5" customHeight="1">
      <c r="A410" s="878"/>
      <c r="B410" s="879"/>
      <c r="C410" s="879"/>
      <c r="D410" s="879"/>
      <c r="E410" s="879"/>
      <c r="F410" s="879"/>
      <c r="G410" s="879"/>
      <c r="H410" s="880" t="s">
        <v>355</v>
      </c>
      <c r="I410" s="881"/>
      <c r="J410" s="881"/>
      <c r="K410" s="882"/>
      <c r="L410" s="880" t="s">
        <v>356</v>
      </c>
      <c r="M410" s="881"/>
      <c r="N410" s="881"/>
      <c r="O410" s="882"/>
      <c r="P410" s="880" t="s">
        <v>357</v>
      </c>
      <c r="Q410" s="881"/>
      <c r="R410" s="881"/>
      <c r="S410" s="882"/>
      <c r="T410" s="880" t="s">
        <v>358</v>
      </c>
      <c r="U410" s="881"/>
      <c r="V410" s="881"/>
      <c r="W410" s="882"/>
      <c r="X410" s="516"/>
      <c r="AC410" s="202" t="str">
        <f>IF($Z$404="нет","-",AC409)</f>
        <v>-</v>
      </c>
      <c r="AD410" s="202" t="str">
        <f>IF($Z$404="нет","-",AD409)</f>
        <v>-</v>
      </c>
      <c r="AE410" s="579" t="str">
        <f>IF($Z$404="нет","-",AE409)</f>
        <v>-</v>
      </c>
      <c r="AH410" s="530"/>
    </row>
    <row r="411" spans="1:34" ht="12.75" customHeight="1">
      <c r="A411" s="878"/>
      <c r="B411" s="879"/>
      <c r="C411" s="879"/>
      <c r="D411" s="879"/>
      <c r="E411" s="879"/>
      <c r="F411" s="879"/>
      <c r="G411" s="879"/>
      <c r="H411" s="782" t="str">
        <f>IF(Y411=0,IF(OR(FIO="",Z404="нет"),"-",0),"")</f>
        <v>-</v>
      </c>
      <c r="I411" s="783"/>
      <c r="J411" s="783"/>
      <c r="K411" s="784"/>
      <c r="L411" s="883"/>
      <c r="M411" s="883"/>
      <c r="N411" s="883"/>
      <c r="O411" s="883"/>
      <c r="P411" s="883"/>
      <c r="Q411" s="883"/>
      <c r="R411" s="883"/>
      <c r="S411" s="883"/>
      <c r="T411" s="883"/>
      <c r="U411" s="883"/>
      <c r="V411" s="883"/>
      <c r="W411" s="883"/>
      <c r="X411" s="516"/>
      <c r="Y411" s="279">
        <f>MAX(L411:W412)</f>
        <v>0</v>
      </c>
      <c r="Z411" s="265">
        <v>80</v>
      </c>
      <c r="AA411" s="282">
        <v>40</v>
      </c>
      <c r="AH411" s="530"/>
    </row>
    <row r="412" spans="1:34" ht="12.75" customHeight="1">
      <c r="A412" s="878"/>
      <c r="B412" s="879"/>
      <c r="C412" s="879"/>
      <c r="D412" s="879"/>
      <c r="E412" s="879"/>
      <c r="F412" s="879"/>
      <c r="G412" s="879"/>
      <c r="H412" s="788"/>
      <c r="I412" s="789"/>
      <c r="J412" s="789"/>
      <c r="K412" s="790"/>
      <c r="L412" s="725"/>
      <c r="M412" s="725"/>
      <c r="N412" s="725"/>
      <c r="O412" s="725"/>
      <c r="P412" s="725"/>
      <c r="Q412" s="725"/>
      <c r="R412" s="725"/>
      <c r="S412" s="725"/>
      <c r="T412" s="725"/>
      <c r="U412" s="725"/>
      <c r="V412" s="725"/>
      <c r="W412" s="725"/>
      <c r="X412" s="516"/>
      <c r="AH412" s="530"/>
    </row>
    <row r="413" spans="1:34" ht="13.5" customHeight="1">
      <c r="A413" s="878" t="s">
        <v>361</v>
      </c>
      <c r="B413" s="879" t="s">
        <v>362</v>
      </c>
      <c r="C413" s="879"/>
      <c r="D413" s="879"/>
      <c r="E413" s="879"/>
      <c r="F413" s="879"/>
      <c r="G413" s="879"/>
      <c r="H413" s="717">
        <v>0</v>
      </c>
      <c r="I413" s="717"/>
      <c r="J413" s="717"/>
      <c r="K413" s="717"/>
      <c r="L413" s="717">
        <v>40</v>
      </c>
      <c r="M413" s="717"/>
      <c r="N413" s="717"/>
      <c r="O413" s="717"/>
      <c r="P413" s="717">
        <v>60</v>
      </c>
      <c r="Q413" s="717"/>
      <c r="R413" s="717"/>
      <c r="S413" s="717"/>
      <c r="T413" s="717">
        <v>80</v>
      </c>
      <c r="U413" s="717"/>
      <c r="V413" s="717"/>
      <c r="W413" s="717"/>
      <c r="X413" s="516"/>
      <c r="AH413" s="530"/>
    </row>
    <row r="414" spans="1:34" ht="13.5" customHeight="1">
      <c r="A414" s="878"/>
      <c r="B414" s="879"/>
      <c r="C414" s="879"/>
      <c r="D414" s="879"/>
      <c r="E414" s="879"/>
      <c r="F414" s="879"/>
      <c r="G414" s="879"/>
      <c r="H414" s="880" t="s">
        <v>355</v>
      </c>
      <c r="I414" s="881"/>
      <c r="J414" s="881"/>
      <c r="K414" s="882"/>
      <c r="L414" s="880" t="s">
        <v>356</v>
      </c>
      <c r="M414" s="881"/>
      <c r="N414" s="881"/>
      <c r="O414" s="882"/>
      <c r="P414" s="880" t="s">
        <v>357</v>
      </c>
      <c r="Q414" s="881"/>
      <c r="R414" s="881"/>
      <c r="S414" s="882"/>
      <c r="T414" s="880" t="s">
        <v>358</v>
      </c>
      <c r="U414" s="881"/>
      <c r="V414" s="881"/>
      <c r="W414" s="882"/>
      <c r="X414" s="516"/>
      <c r="AH414" s="530"/>
    </row>
    <row r="415" spans="1:34" ht="12.75" customHeight="1">
      <c r="A415" s="878"/>
      <c r="B415" s="879"/>
      <c r="C415" s="879"/>
      <c r="D415" s="879"/>
      <c r="E415" s="879"/>
      <c r="F415" s="879"/>
      <c r="G415" s="879"/>
      <c r="H415" s="782" t="str">
        <f>IF(Y415=0,IF(OR(FIO="",Z404="нет"),"-",0),"")</f>
        <v>-</v>
      </c>
      <c r="I415" s="783"/>
      <c r="J415" s="783"/>
      <c r="K415" s="784"/>
      <c r="L415" s="883"/>
      <c r="M415" s="883"/>
      <c r="N415" s="883"/>
      <c r="O415" s="883"/>
      <c r="P415" s="883"/>
      <c r="Q415" s="883"/>
      <c r="R415" s="883"/>
      <c r="S415" s="883"/>
      <c r="T415" s="883"/>
      <c r="U415" s="883"/>
      <c r="V415" s="883"/>
      <c r="W415" s="883"/>
      <c r="X415" s="516"/>
      <c r="Y415" s="279">
        <f>MAX(L415:W416)</f>
        <v>0</v>
      </c>
      <c r="Z415" s="265">
        <v>80</v>
      </c>
      <c r="AA415" s="282">
        <v>40</v>
      </c>
      <c r="AH415" s="530"/>
    </row>
    <row r="416" spans="1:34" ht="12.75" customHeight="1">
      <c r="A416" s="878"/>
      <c r="B416" s="879"/>
      <c r="C416" s="879"/>
      <c r="D416" s="879"/>
      <c r="E416" s="879"/>
      <c r="F416" s="879"/>
      <c r="G416" s="879"/>
      <c r="H416" s="788"/>
      <c r="I416" s="789"/>
      <c r="J416" s="789"/>
      <c r="K416" s="790"/>
      <c r="L416" s="725"/>
      <c r="M416" s="725"/>
      <c r="N416" s="725"/>
      <c r="O416" s="725"/>
      <c r="P416" s="725"/>
      <c r="Q416" s="725"/>
      <c r="R416" s="725"/>
      <c r="S416" s="725"/>
      <c r="T416" s="725"/>
      <c r="U416" s="725"/>
      <c r="V416" s="725"/>
      <c r="W416" s="725"/>
      <c r="X416" s="516"/>
      <c r="AH416" s="530"/>
    </row>
    <row r="417" spans="24:34" ht="12.75">
      <c r="X417" s="516"/>
      <c r="AH417" s="530"/>
    </row>
    <row r="418" spans="24:34" ht="12.75">
      <c r="X418" s="516"/>
      <c r="AH418" s="530"/>
    </row>
    <row r="419" spans="2:34" ht="14.25" customHeight="1">
      <c r="B419" s="272" t="s">
        <v>274</v>
      </c>
      <c r="X419" s="516"/>
      <c r="Y419" s="177"/>
      <c r="Z419" s="177"/>
      <c r="AA419" s="316" t="s">
        <v>452</v>
      </c>
      <c r="AB419" s="280">
        <f>итого_1+итого_2+итого_3</f>
        <v>0</v>
      </c>
      <c r="AC419" s="372">
        <v>720</v>
      </c>
      <c r="AE419" s="580">
        <v>540</v>
      </c>
      <c r="AF419" s="578" t="s">
        <v>317</v>
      </c>
      <c r="AH419" s="530"/>
    </row>
    <row r="420" spans="2:34" ht="4.5" customHeight="1">
      <c r="B420" s="238"/>
      <c r="X420" s="516"/>
      <c r="AH420" s="530"/>
    </row>
    <row r="421" spans="2:34" ht="14.25" customHeight="1">
      <c r="B421" s="911" t="s">
        <v>254</v>
      </c>
      <c r="C421" s="912"/>
      <c r="D421" s="912"/>
      <c r="E421" s="912"/>
      <c r="F421" s="912"/>
      <c r="G421" s="913"/>
      <c r="H421" s="911" t="s">
        <v>255</v>
      </c>
      <c r="I421" s="912"/>
      <c r="J421" s="912"/>
      <c r="K421" s="912"/>
      <c r="L421" s="912"/>
      <c r="M421" s="912"/>
      <c r="N421" s="912"/>
      <c r="O421" s="912"/>
      <c r="P421" s="912"/>
      <c r="Q421" s="912"/>
      <c r="R421" s="912"/>
      <c r="S421" s="913"/>
      <c r="X421" s="516"/>
      <c r="AA421" s="371" t="s">
        <v>453</v>
      </c>
      <c r="AH421" s="530"/>
    </row>
    <row r="422" spans="1:34" ht="14.25" customHeight="1">
      <c r="A422" s="5"/>
      <c r="B422" s="1000" t="s">
        <v>256</v>
      </c>
      <c r="C422" s="1001"/>
      <c r="D422" s="1001"/>
      <c r="E422" s="1001"/>
      <c r="F422" s="1001"/>
      <c r="G422" s="1002"/>
      <c r="H422" s="953">
        <f>порог_П</f>
        <v>200</v>
      </c>
      <c r="I422" s="954"/>
      <c r="J422" s="954"/>
      <c r="K422" s="954"/>
      <c r="L422" s="954"/>
      <c r="M422" s="954"/>
      <c r="N422" s="954"/>
      <c r="O422" s="954"/>
      <c r="P422" s="954"/>
      <c r="Q422" s="954"/>
      <c r="R422" s="954"/>
      <c r="S422" s="955"/>
      <c r="X422" s="516"/>
      <c r="AA422" s="320">
        <f>'общие сведения'!M18</f>
        <v>210</v>
      </c>
      <c r="AB422" s="320">
        <f>'общие сведения'!M19</f>
        <v>270</v>
      </c>
      <c r="AH422" s="530"/>
    </row>
    <row r="423" spans="1:34" ht="14.25" customHeight="1">
      <c r="A423" s="5"/>
      <c r="B423" s="1000" t="s">
        <v>257</v>
      </c>
      <c r="C423" s="1001"/>
      <c r="D423" s="1001"/>
      <c r="E423" s="1001"/>
      <c r="F423" s="1001"/>
      <c r="G423" s="1002"/>
      <c r="H423" s="953">
        <f>порог_В</f>
        <v>390</v>
      </c>
      <c r="I423" s="954"/>
      <c r="J423" s="954"/>
      <c r="K423" s="954"/>
      <c r="L423" s="954"/>
      <c r="M423" s="954"/>
      <c r="N423" s="954"/>
      <c r="O423" s="954"/>
      <c r="P423" s="954"/>
      <c r="Q423" s="954"/>
      <c r="R423" s="954"/>
      <c r="S423" s="955"/>
      <c r="X423" s="516"/>
      <c r="Y423" s="343">
        <f>IF(G56="первая","первой",IF(G56="высшая","высшей",""))</f>
      </c>
      <c r="AA423" s="320">
        <f>'общие сведения'!N18</f>
        <v>450</v>
      </c>
      <c r="AB423" s="320">
        <f>'общие сведения'!N19</f>
        <v>510</v>
      </c>
      <c r="AH423" s="530"/>
    </row>
    <row r="424" spans="1:34" ht="12.75" customHeight="1">
      <c r="A424" s="337"/>
      <c r="B424" s="337"/>
      <c r="C424" s="337"/>
      <c r="D424" s="337"/>
      <c r="E424" s="337"/>
      <c r="F424" s="337"/>
      <c r="G424" s="337"/>
      <c r="H424" s="337"/>
      <c r="I424" s="317"/>
      <c r="J424" s="317"/>
      <c r="L424" s="339"/>
      <c r="M424" s="339"/>
      <c r="N424" s="338"/>
      <c r="P424" s="339"/>
      <c r="Q424" s="338"/>
      <c r="R424" s="338"/>
      <c r="S424" s="13"/>
      <c r="X424" s="516"/>
      <c r="AA424" s="320"/>
      <c r="AH424" s="530"/>
    </row>
    <row r="425" spans="1:34" ht="12.75" customHeight="1">
      <c r="A425" s="337"/>
      <c r="B425" s="272" t="s">
        <v>278</v>
      </c>
      <c r="C425" s="337"/>
      <c r="D425" s="337"/>
      <c r="E425" s="337"/>
      <c r="F425" s="337"/>
      <c r="G425" s="337"/>
      <c r="H425" s="337"/>
      <c r="I425" s="317"/>
      <c r="J425" s="317"/>
      <c r="K425" s="339"/>
      <c r="L425" s="339"/>
      <c r="M425" s="339"/>
      <c r="N425" s="338"/>
      <c r="O425" s="339"/>
      <c r="P425" s="1003">
        <f>IF(FIO="","",Всего)</f>
      </c>
      <c r="Q425" s="1003"/>
      <c r="R425" s="335"/>
      <c r="S425" s="272" t="s">
        <v>258</v>
      </c>
      <c r="X425" s="516"/>
      <c r="AH425" s="530"/>
    </row>
    <row r="426" spans="24:34" ht="12.75">
      <c r="X426" s="516"/>
      <c r="AH426" s="530"/>
    </row>
    <row r="427" spans="1:34" ht="13.5">
      <c r="A427" s="213" t="s">
        <v>589</v>
      </c>
      <c r="B427" s="340"/>
      <c r="C427" s="340"/>
      <c r="D427" s="340"/>
      <c r="E427" s="340"/>
      <c r="F427" s="341"/>
      <c r="G427" s="341"/>
      <c r="H427" s="341"/>
      <c r="I427" s="341"/>
      <c r="J427" s="341"/>
      <c r="K427" s="157"/>
      <c r="L427" s="251" t="str">
        <f>Y427&amp;Y429</f>
        <v>музыкального руководителя</v>
      </c>
      <c r="M427" s="226"/>
      <c r="N427" s="226"/>
      <c r="O427" s="341"/>
      <c r="P427" s="341"/>
      <c r="Q427" s="341"/>
      <c r="R427" s="341"/>
      <c r="S427" s="341"/>
      <c r="U427" s="342"/>
      <c r="V427" s="342"/>
      <c r="W427" s="418" t="s">
        <v>475</v>
      </c>
      <c r="X427" s="516"/>
      <c r="Y427" s="419" t="str">
        <f>IF(AND(AA35&lt;31,Y36=1),Y35,AE35)</f>
        <v>музыкального руководителя</v>
      </c>
      <c r="AH427" s="530"/>
    </row>
    <row r="428" spans="1:34" ht="9.75" customHeight="1">
      <c r="A428" s="213"/>
      <c r="B428" s="340"/>
      <c r="C428" s="340"/>
      <c r="D428" s="340"/>
      <c r="E428" s="340"/>
      <c r="F428" s="1016" t="s">
        <v>532</v>
      </c>
      <c r="G428" s="1016"/>
      <c r="H428" s="1016"/>
      <c r="I428" s="1016"/>
      <c r="J428" s="1016"/>
      <c r="K428" s="1016"/>
      <c r="L428" s="1016"/>
      <c r="M428" s="1016"/>
      <c r="N428" s="1016"/>
      <c r="O428" s="1016"/>
      <c r="P428" s="1016"/>
      <c r="Q428" s="1016"/>
      <c r="R428" s="1016"/>
      <c r="S428" s="1016"/>
      <c r="U428" s="342"/>
      <c r="V428" s="342"/>
      <c r="W428" s="418"/>
      <c r="X428" s="516"/>
      <c r="Y428" s="419"/>
      <c r="AH428" s="530"/>
    </row>
    <row r="429" spans="1:34" ht="13.5">
      <c r="A429" s="213" t="s">
        <v>194</v>
      </c>
      <c r="B429" s="340"/>
      <c r="C429" s="340"/>
      <c r="D429" s="340"/>
      <c r="E429" s="340"/>
      <c r="F429" s="340"/>
      <c r="G429" s="157"/>
      <c r="H429" s="538">
        <f>IF(OR(Всего="",FIO="",G56=""),"",Y423)</f>
      </c>
      <c r="I429" s="539"/>
      <c r="J429" s="539"/>
      <c r="K429" s="157"/>
      <c r="L429" s="214" t="s">
        <v>195</v>
      </c>
      <c r="M429" s="340"/>
      <c r="N429" s="340"/>
      <c r="O429" s="340"/>
      <c r="P429" s="340"/>
      <c r="Q429" s="340"/>
      <c r="R429" s="340"/>
      <c r="S429" s="340"/>
      <c r="T429" s="340"/>
      <c r="U429" s="340"/>
      <c r="V429" s="340"/>
      <c r="W429" s="340"/>
      <c r="X429" s="516"/>
      <c r="Y429" s="419">
        <f>Z82</f>
      </c>
      <c r="AH429" s="530"/>
    </row>
    <row r="430" spans="24:34" ht="12.75">
      <c r="X430" s="516"/>
      <c r="AH430" s="530"/>
    </row>
    <row r="431" spans="1:34" ht="13.5">
      <c r="A431" s="588" t="s">
        <v>166</v>
      </c>
      <c r="X431" s="516"/>
      <c r="AH431" s="530"/>
    </row>
    <row r="432" spans="1:34" ht="3" customHeight="1">
      <c r="A432" s="320"/>
      <c r="B432" s="276"/>
      <c r="C432" s="320"/>
      <c r="D432" s="276"/>
      <c r="E432" s="276"/>
      <c r="F432" s="276"/>
      <c r="G432" s="276"/>
      <c r="H432" s="276"/>
      <c r="I432" s="276"/>
      <c r="J432" s="276"/>
      <c r="K432" s="276"/>
      <c r="L432" s="276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516"/>
      <c r="AH432" s="530"/>
    </row>
    <row r="433" spans="1:34" ht="15" customHeight="1">
      <c r="A433" s="974">
        <f>B87</f>
      </c>
      <c r="B433" s="974"/>
      <c r="C433" s="974"/>
      <c r="D433" s="974"/>
      <c r="E433" s="974"/>
      <c r="F433" s="974"/>
      <c r="G433" s="974"/>
      <c r="H433" s="974"/>
      <c r="I433" s="974"/>
      <c r="J433" s="974"/>
      <c r="K433" s="974"/>
      <c r="L433" s="974"/>
      <c r="M433" s="974"/>
      <c r="N433" s="974"/>
      <c r="O433" s="974"/>
      <c r="P433" s="974"/>
      <c r="Q433" s="974"/>
      <c r="R433" s="974"/>
      <c r="S433" s="974"/>
      <c r="T433" s="974"/>
      <c r="U433" s="974"/>
      <c r="V433" s="974"/>
      <c r="W433" s="974"/>
      <c r="X433" s="516"/>
      <c r="Y433" s="973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33" s="973"/>
      <c r="AA433" s="973"/>
      <c r="AB433" s="973"/>
      <c r="AC433" s="973"/>
      <c r="AD433" s="973"/>
      <c r="AE433" s="973"/>
      <c r="AH433" s="530"/>
    </row>
    <row r="434" spans="1:34" ht="15" customHeight="1">
      <c r="A434" s="974"/>
      <c r="B434" s="974"/>
      <c r="C434" s="974"/>
      <c r="D434" s="974"/>
      <c r="E434" s="974"/>
      <c r="F434" s="974"/>
      <c r="G434" s="974"/>
      <c r="H434" s="974"/>
      <c r="I434" s="974"/>
      <c r="J434" s="974"/>
      <c r="K434" s="974"/>
      <c r="L434" s="974"/>
      <c r="M434" s="974"/>
      <c r="N434" s="974"/>
      <c r="O434" s="974"/>
      <c r="P434" s="974"/>
      <c r="Q434" s="974"/>
      <c r="R434" s="974"/>
      <c r="S434" s="974"/>
      <c r="T434" s="974"/>
      <c r="U434" s="974"/>
      <c r="V434" s="974"/>
      <c r="W434" s="974"/>
      <c r="X434" s="516"/>
      <c r="Y434" s="973"/>
      <c r="Z434" s="973"/>
      <c r="AA434" s="973"/>
      <c r="AB434" s="973"/>
      <c r="AC434" s="973"/>
      <c r="AD434" s="973"/>
      <c r="AE434" s="973"/>
      <c r="AF434" s="581"/>
      <c r="AG434" s="307"/>
      <c r="AH434" s="530"/>
    </row>
    <row r="435" spans="1:34" ht="15" customHeight="1">
      <c r="A435" s="974"/>
      <c r="B435" s="974"/>
      <c r="C435" s="974"/>
      <c r="D435" s="974"/>
      <c r="E435" s="974"/>
      <c r="F435" s="974"/>
      <c r="G435" s="974"/>
      <c r="H435" s="974"/>
      <c r="I435" s="974"/>
      <c r="J435" s="974"/>
      <c r="K435" s="974"/>
      <c r="L435" s="974"/>
      <c r="M435" s="974"/>
      <c r="N435" s="974"/>
      <c r="O435" s="974"/>
      <c r="P435" s="974"/>
      <c r="Q435" s="974"/>
      <c r="R435" s="974"/>
      <c r="S435" s="974"/>
      <c r="T435" s="974"/>
      <c r="U435" s="974"/>
      <c r="V435" s="974"/>
      <c r="W435" s="974"/>
      <c r="X435" s="516"/>
      <c r="Y435" s="973"/>
      <c r="Z435" s="973"/>
      <c r="AA435" s="973"/>
      <c r="AB435" s="973"/>
      <c r="AC435" s="973"/>
      <c r="AD435" s="973"/>
      <c r="AE435" s="973"/>
      <c r="AF435" s="581"/>
      <c r="AG435" s="307"/>
      <c r="AH435" s="530"/>
    </row>
    <row r="436" spans="1:34" ht="12.75" customHeight="1">
      <c r="A436" s="974"/>
      <c r="B436" s="974"/>
      <c r="C436" s="974"/>
      <c r="D436" s="974"/>
      <c r="E436" s="974"/>
      <c r="F436" s="974"/>
      <c r="G436" s="974"/>
      <c r="H436" s="974"/>
      <c r="I436" s="974"/>
      <c r="J436" s="974"/>
      <c r="K436" s="974"/>
      <c r="L436" s="974"/>
      <c r="M436" s="974"/>
      <c r="N436" s="974"/>
      <c r="O436" s="974"/>
      <c r="P436" s="974"/>
      <c r="Q436" s="974"/>
      <c r="R436" s="974"/>
      <c r="S436" s="974"/>
      <c r="T436" s="974"/>
      <c r="U436" s="974"/>
      <c r="V436" s="974"/>
      <c r="W436" s="974"/>
      <c r="X436" s="516"/>
      <c r="Y436" s="973"/>
      <c r="Z436" s="973"/>
      <c r="AA436" s="973"/>
      <c r="AB436" s="973"/>
      <c r="AC436" s="973"/>
      <c r="AD436" s="973"/>
      <c r="AE436" s="973"/>
      <c r="AF436" s="581"/>
      <c r="AG436" s="307"/>
      <c r="AH436" s="530"/>
    </row>
    <row r="437" spans="1:123" ht="15">
      <c r="A437" s="276"/>
      <c r="B437" s="276"/>
      <c r="C437" s="276"/>
      <c r="D437" s="276"/>
      <c r="E437" s="276"/>
      <c r="F437" s="276"/>
      <c r="G437" s="276"/>
      <c r="H437" s="276"/>
      <c r="I437" s="276"/>
      <c r="J437" s="276"/>
      <c r="K437" s="276"/>
      <c r="L437" s="276"/>
      <c r="M437" s="276"/>
      <c r="N437" s="276"/>
      <c r="O437" s="276"/>
      <c r="P437" s="276"/>
      <c r="Q437" s="276"/>
      <c r="R437" s="276"/>
      <c r="S437" s="276"/>
      <c r="T437" s="276"/>
      <c r="U437" s="276"/>
      <c r="V437" s="276"/>
      <c r="W437" s="276"/>
      <c r="X437" s="516"/>
      <c r="Y437" s="307"/>
      <c r="Z437" s="307"/>
      <c r="AA437" s="307"/>
      <c r="AB437" s="307"/>
      <c r="AC437" s="307"/>
      <c r="AD437" s="307"/>
      <c r="AE437" s="581"/>
      <c r="AF437" s="581"/>
      <c r="AG437" s="307"/>
      <c r="AH437" s="530"/>
      <c r="AI437" s="307"/>
      <c r="AJ437" s="307"/>
      <c r="AK437" s="307"/>
      <c r="AL437" s="307"/>
      <c r="AM437" s="307"/>
      <c r="AQ437" s="307"/>
      <c r="AR437" s="307"/>
      <c r="AS437" s="307"/>
      <c r="AT437" s="307"/>
      <c r="AU437" s="307"/>
      <c r="AV437" s="307"/>
      <c r="BD437" s="307"/>
      <c r="BE437" s="307"/>
      <c r="BF437" s="307"/>
      <c r="BG437" s="307"/>
      <c r="BH437" s="307"/>
      <c r="BI437" s="307"/>
      <c r="BJ437" s="307"/>
      <c r="BK437" s="307"/>
      <c r="BS437" s="307"/>
      <c r="BT437" s="307"/>
      <c r="BU437" s="307"/>
      <c r="BV437" s="307"/>
      <c r="BW437" s="307"/>
      <c r="BX437" s="307"/>
      <c r="BY437" s="307"/>
      <c r="BZ437" s="307"/>
      <c r="CH437" s="307"/>
      <c r="CI437" s="307"/>
      <c r="CJ437" s="307"/>
      <c r="CK437" s="307"/>
      <c r="CL437" s="307"/>
      <c r="CM437" s="307"/>
      <c r="CN437" s="307"/>
      <c r="CO437" s="307"/>
      <c r="CW437" s="307"/>
      <c r="CX437" s="307"/>
      <c r="CY437" s="307"/>
      <c r="CZ437" s="307"/>
      <c r="DA437" s="307"/>
      <c r="DB437" s="307"/>
      <c r="DC437" s="307"/>
      <c r="DD437" s="307"/>
      <c r="DL437" s="307"/>
      <c r="DM437" s="307"/>
      <c r="DN437" s="307"/>
      <c r="DO437" s="307"/>
      <c r="DP437" s="307"/>
      <c r="DQ437" s="307"/>
      <c r="DR437" s="307"/>
      <c r="DS437" s="307"/>
    </row>
    <row r="438" spans="1:123" ht="6" customHeight="1" hidden="1">
      <c r="A438" s="398"/>
      <c r="B438" s="398"/>
      <c r="C438" s="398"/>
      <c r="D438" s="398"/>
      <c r="E438" s="276"/>
      <c r="F438" s="276"/>
      <c r="G438" s="276"/>
      <c r="H438" s="276"/>
      <c r="I438" s="276"/>
      <c r="J438" s="276"/>
      <c r="K438" s="276"/>
      <c r="L438" s="276"/>
      <c r="M438" s="276"/>
      <c r="N438" s="276"/>
      <c r="O438" s="276"/>
      <c r="P438" s="276"/>
      <c r="Q438" s="276"/>
      <c r="R438" s="276"/>
      <c r="S438" s="276"/>
      <c r="T438" s="276"/>
      <c r="U438" s="276"/>
      <c r="V438" s="276"/>
      <c r="W438" s="276"/>
      <c r="X438" s="516"/>
      <c r="Y438" s="307"/>
      <c r="Z438" s="307"/>
      <c r="AA438" s="307"/>
      <c r="AB438" s="307"/>
      <c r="AC438" s="307"/>
      <c r="AD438" s="307"/>
      <c r="AE438" s="581"/>
      <c r="AF438" s="581"/>
      <c r="AG438" s="307"/>
      <c r="AH438" s="530"/>
      <c r="AI438" s="307"/>
      <c r="AJ438" s="307"/>
      <c r="AK438" s="307"/>
      <c r="AL438" s="307"/>
      <c r="AM438" s="307"/>
      <c r="AQ438" s="307"/>
      <c r="AR438" s="307"/>
      <c r="AS438" s="307"/>
      <c r="AT438" s="307"/>
      <c r="AU438" s="307"/>
      <c r="AV438" s="307"/>
      <c r="BD438" s="307"/>
      <c r="BE438" s="307"/>
      <c r="BF438" s="307"/>
      <c r="BG438" s="307"/>
      <c r="BH438" s="307"/>
      <c r="BI438" s="307"/>
      <c r="BJ438" s="307"/>
      <c r="BK438" s="307"/>
      <c r="BS438" s="307"/>
      <c r="BT438" s="307"/>
      <c r="BU438" s="307"/>
      <c r="BV438" s="307"/>
      <c r="BW438" s="307"/>
      <c r="BX438" s="307"/>
      <c r="BY438" s="307"/>
      <c r="BZ438" s="307"/>
      <c r="CH438" s="307"/>
      <c r="CI438" s="307"/>
      <c r="CJ438" s="307"/>
      <c r="CK438" s="307"/>
      <c r="CL438" s="307"/>
      <c r="CM438" s="307"/>
      <c r="CN438" s="307"/>
      <c r="CO438" s="307"/>
      <c r="CW438" s="307"/>
      <c r="CX438" s="307"/>
      <c r="CY438" s="307"/>
      <c r="CZ438" s="307"/>
      <c r="DA438" s="307"/>
      <c r="DB438" s="307"/>
      <c r="DC438" s="307"/>
      <c r="DD438" s="307"/>
      <c r="DL438" s="307"/>
      <c r="DM438" s="307"/>
      <c r="DN438" s="307"/>
      <c r="DO438" s="307"/>
      <c r="DP438" s="307"/>
      <c r="DQ438" s="307"/>
      <c r="DR438" s="307"/>
      <c r="DS438" s="307"/>
    </row>
    <row r="439" spans="1:123" ht="15" customHeight="1" hidden="1">
      <c r="A439" s="397" t="s">
        <v>210</v>
      </c>
      <c r="B439" s="1015"/>
      <c r="C439" s="1015"/>
      <c r="D439" s="1015"/>
      <c r="E439" s="1015"/>
      <c r="F439" s="1015"/>
      <c r="G439" s="1015"/>
      <c r="H439" s="1015"/>
      <c r="I439" s="1015"/>
      <c r="J439" s="1015"/>
      <c r="K439" s="1015"/>
      <c r="L439" s="1015"/>
      <c r="M439" s="1015"/>
      <c r="N439" s="1015"/>
      <c r="O439" s="1015"/>
      <c r="P439" s="1015"/>
      <c r="Q439" s="1015"/>
      <c r="R439" s="1015"/>
      <c r="S439" s="1015"/>
      <c r="T439" s="1015"/>
      <c r="U439" s="1015"/>
      <c r="V439" s="1015"/>
      <c r="W439" s="1015"/>
      <c r="X439" s="516"/>
      <c r="Y439" s="307"/>
      <c r="Z439" s="307"/>
      <c r="AA439" s="307"/>
      <c r="AB439" s="307"/>
      <c r="AC439" s="307"/>
      <c r="AD439" s="307"/>
      <c r="AE439" s="581"/>
      <c r="AF439" s="581"/>
      <c r="AG439" s="307"/>
      <c r="AH439" s="530"/>
      <c r="AI439" s="307"/>
      <c r="AJ439" s="307"/>
      <c r="AK439" s="307"/>
      <c r="AL439" s="307"/>
      <c r="AM439" s="307"/>
      <c r="AQ439" s="307"/>
      <c r="AR439" s="307"/>
      <c r="AS439" s="307"/>
      <c r="AT439" s="307"/>
      <c r="AU439" s="307"/>
      <c r="AV439" s="307"/>
      <c r="BD439" s="307"/>
      <c r="BE439" s="307"/>
      <c r="BF439" s="307"/>
      <c r="BG439" s="307"/>
      <c r="BH439" s="307"/>
      <c r="BI439" s="307"/>
      <c r="BJ439" s="307"/>
      <c r="BK439" s="307"/>
      <c r="BS439" s="307"/>
      <c r="BT439" s="307"/>
      <c r="BU439" s="307"/>
      <c r="BV439" s="307"/>
      <c r="BW439" s="307"/>
      <c r="BX439" s="307"/>
      <c r="BY439" s="307"/>
      <c r="BZ439" s="307"/>
      <c r="CH439" s="307"/>
      <c r="CI439" s="307"/>
      <c r="CJ439" s="307"/>
      <c r="CK439" s="307"/>
      <c r="CL439" s="307"/>
      <c r="CM439" s="307"/>
      <c r="CN439" s="307"/>
      <c r="CO439" s="307"/>
      <c r="CW439" s="307"/>
      <c r="CX439" s="307"/>
      <c r="CY439" s="307"/>
      <c r="CZ439" s="307"/>
      <c r="DA439" s="307"/>
      <c r="DB439" s="307"/>
      <c r="DC439" s="307"/>
      <c r="DD439" s="307"/>
      <c r="DL439" s="307"/>
      <c r="DM439" s="307"/>
      <c r="DN439" s="307"/>
      <c r="DO439" s="307"/>
      <c r="DP439" s="307"/>
      <c r="DQ439" s="307"/>
      <c r="DR439" s="307"/>
      <c r="DS439" s="307"/>
    </row>
    <row r="440" spans="1:123" ht="32.25" customHeight="1" hidden="1">
      <c r="A440" s="5"/>
      <c r="B440" s="1015"/>
      <c r="C440" s="1015"/>
      <c r="D440" s="1015"/>
      <c r="E440" s="1015"/>
      <c r="F440" s="1015"/>
      <c r="G440" s="1015"/>
      <c r="H440" s="1015"/>
      <c r="I440" s="1015"/>
      <c r="J440" s="1015"/>
      <c r="K440" s="1015"/>
      <c r="L440" s="1015"/>
      <c r="M440" s="1015"/>
      <c r="N440" s="1015"/>
      <c r="O440" s="1015"/>
      <c r="P440" s="1015"/>
      <c r="Q440" s="1015"/>
      <c r="R440" s="1015"/>
      <c r="S440" s="1015"/>
      <c r="T440" s="1015"/>
      <c r="U440" s="1015"/>
      <c r="V440" s="1015"/>
      <c r="W440" s="1015"/>
      <c r="X440" s="516"/>
      <c r="Y440" s="307"/>
      <c r="Z440" s="307"/>
      <c r="AA440" s="307"/>
      <c r="AB440" s="307"/>
      <c r="AC440" s="307"/>
      <c r="AD440" s="307"/>
      <c r="AE440" s="581"/>
      <c r="AF440" s="581"/>
      <c r="AG440" s="307"/>
      <c r="AH440" s="530"/>
      <c r="AI440" s="307"/>
      <c r="AJ440" s="307"/>
      <c r="AK440" s="307"/>
      <c r="AL440" s="307"/>
      <c r="AM440" s="307"/>
      <c r="AQ440" s="307"/>
      <c r="AR440" s="307"/>
      <c r="AS440" s="307"/>
      <c r="AT440" s="307"/>
      <c r="AU440" s="307"/>
      <c r="AV440" s="307"/>
      <c r="BD440" s="307"/>
      <c r="BE440" s="307"/>
      <c r="BF440" s="307"/>
      <c r="BG440" s="307"/>
      <c r="BH440" s="307"/>
      <c r="BI440" s="307"/>
      <c r="BJ440" s="307"/>
      <c r="BK440" s="307"/>
      <c r="BS440" s="307"/>
      <c r="BT440" s="307"/>
      <c r="BU440" s="307"/>
      <c r="BV440" s="307"/>
      <c r="BW440" s="307"/>
      <c r="BX440" s="307"/>
      <c r="BY440" s="307"/>
      <c r="BZ440" s="307"/>
      <c r="CH440" s="307"/>
      <c r="CI440" s="307"/>
      <c r="CJ440" s="307"/>
      <c r="CK440" s="307"/>
      <c r="CL440" s="307"/>
      <c r="CM440" s="307"/>
      <c r="CN440" s="307"/>
      <c r="CO440" s="307"/>
      <c r="CW440" s="307"/>
      <c r="CX440" s="307"/>
      <c r="CY440" s="307"/>
      <c r="CZ440" s="307"/>
      <c r="DA440" s="307"/>
      <c r="DB440" s="307"/>
      <c r="DC440" s="307"/>
      <c r="DD440" s="307"/>
      <c r="DL440" s="307"/>
      <c r="DM440" s="307"/>
      <c r="DN440" s="307"/>
      <c r="DO440" s="307"/>
      <c r="DP440" s="307"/>
      <c r="DQ440" s="307"/>
      <c r="DR440" s="307"/>
      <c r="DS440" s="307"/>
    </row>
    <row r="441" spans="1:123" ht="3.75" customHeight="1">
      <c r="A441" s="517"/>
      <c r="B441" s="387"/>
      <c r="C441" s="387"/>
      <c r="D441" s="387"/>
      <c r="E441" s="387"/>
      <c r="F441" s="387"/>
      <c r="G441" s="387"/>
      <c r="H441" s="387"/>
      <c r="I441" s="387"/>
      <c r="J441" s="387"/>
      <c r="K441" s="387"/>
      <c r="L441" s="387"/>
      <c r="M441" s="387"/>
      <c r="N441" s="387"/>
      <c r="O441" s="387"/>
      <c r="P441" s="387"/>
      <c r="Q441" s="387"/>
      <c r="R441" s="387"/>
      <c r="S441" s="387"/>
      <c r="T441" s="387"/>
      <c r="U441" s="387"/>
      <c r="V441" s="387"/>
      <c r="W441" s="387"/>
      <c r="X441" s="516"/>
      <c r="Y441" s="307"/>
      <c r="Z441" s="307"/>
      <c r="AA441" s="307"/>
      <c r="AB441" s="307"/>
      <c r="AC441" s="307"/>
      <c r="AD441" s="307"/>
      <c r="AE441" s="581"/>
      <c r="AF441" s="581"/>
      <c r="AG441" s="307"/>
      <c r="AQ441" s="307"/>
      <c r="AR441" s="307"/>
      <c r="AS441" s="307"/>
      <c r="AT441" s="307"/>
      <c r="AU441" s="307"/>
      <c r="AV441" s="307"/>
      <c r="BD441" s="307"/>
      <c r="BE441" s="307"/>
      <c r="BF441" s="307"/>
      <c r="BG441" s="307"/>
      <c r="BH441" s="307"/>
      <c r="BI441" s="307"/>
      <c r="BJ441" s="307"/>
      <c r="BK441" s="307"/>
      <c r="BS441" s="307"/>
      <c r="BT441" s="307"/>
      <c r="BU441" s="307"/>
      <c r="BV441" s="307"/>
      <c r="BW441" s="307"/>
      <c r="BX441" s="307"/>
      <c r="BY441" s="307"/>
      <c r="BZ441" s="307"/>
      <c r="CH441" s="307"/>
      <c r="CI441" s="307"/>
      <c r="CJ441" s="307"/>
      <c r="CK441" s="307"/>
      <c r="CL441" s="307"/>
      <c r="CM441" s="307"/>
      <c r="CN441" s="307"/>
      <c r="CO441" s="307"/>
      <c r="CW441" s="307"/>
      <c r="CX441" s="307"/>
      <c r="CY441" s="307"/>
      <c r="CZ441" s="307"/>
      <c r="DA441" s="307"/>
      <c r="DB441" s="307"/>
      <c r="DC441" s="307"/>
      <c r="DD441" s="307"/>
      <c r="DL441" s="307"/>
      <c r="DM441" s="307"/>
      <c r="DN441" s="307"/>
      <c r="DO441" s="307"/>
      <c r="DP441" s="307"/>
      <c r="DQ441" s="307"/>
      <c r="DR441" s="307"/>
      <c r="DS441" s="307"/>
    </row>
    <row r="442" spans="1:33" ht="17.25">
      <c r="A442" s="529">
        <f>SUM(A443:A455)</f>
        <v>2</v>
      </c>
      <c r="B442" s="1010" t="str">
        <f>IF(A442=12,"Экспертное заключение ГОТОВО к печати","ЭЗ не готово к печати")</f>
        <v>ЭЗ не готово к печати</v>
      </c>
      <c r="C442" s="1010"/>
      <c r="D442" s="1010"/>
      <c r="E442" s="1010"/>
      <c r="F442" s="1010"/>
      <c r="G442" s="1010"/>
      <c r="H442" s="1010"/>
      <c r="I442" s="1010"/>
      <c r="J442" s="1010"/>
      <c r="K442" s="1010"/>
      <c r="L442" s="1010"/>
      <c r="M442" s="1010"/>
      <c r="N442" s="1010"/>
      <c r="O442" s="1010"/>
      <c r="P442" s="1010"/>
      <c r="Q442" s="1010"/>
      <c r="R442" s="1010"/>
      <c r="S442" s="1010"/>
      <c r="T442" s="1010"/>
      <c r="U442" s="1010"/>
      <c r="V442" s="1010"/>
      <c r="W442" s="528"/>
      <c r="X442" s="516"/>
      <c r="Y442" s="307"/>
      <c r="Z442" s="307"/>
      <c r="AA442" s="307"/>
      <c r="AB442" s="307"/>
      <c r="AC442" s="307"/>
      <c r="AD442" s="307"/>
      <c r="AE442" s="581"/>
      <c r="AF442" s="581"/>
      <c r="AG442" s="307"/>
    </row>
    <row r="443" spans="1:33" ht="13.5">
      <c r="A443" s="518">
        <f>IF(M443=" + ",1,0)</f>
        <v>0</v>
      </c>
      <c r="B443" s="519" t="s">
        <v>9</v>
      </c>
      <c r="C443" s="519"/>
      <c r="D443" s="519"/>
      <c r="E443" s="519"/>
      <c r="F443" s="519"/>
      <c r="G443" s="519"/>
      <c r="H443" s="519"/>
      <c r="I443" s="519"/>
      <c r="J443" s="519"/>
      <c r="K443" s="519"/>
      <c r="L443" s="519"/>
      <c r="M443" s="520" t="str">
        <f>IF(FIO&lt;&gt;""," + ","не заполнено")</f>
        <v>не заполнено</v>
      </c>
      <c r="N443" s="519"/>
      <c r="O443" s="519"/>
      <c r="P443" s="519"/>
      <c r="Q443" s="519"/>
      <c r="R443" s="519"/>
      <c r="S443" s="519"/>
      <c r="T443" s="519"/>
      <c r="U443" s="519"/>
      <c r="V443" s="519"/>
      <c r="W443" s="519"/>
      <c r="X443" s="516"/>
      <c r="Y443" s="307"/>
      <c r="Z443" s="307"/>
      <c r="AA443" s="307"/>
      <c r="AB443" s="307"/>
      <c r="AC443" s="307"/>
      <c r="AD443" s="307"/>
      <c r="AE443" s="581"/>
      <c r="AF443" s="581"/>
      <c r="AG443" s="307"/>
    </row>
    <row r="444" spans="1:33" ht="13.5">
      <c r="A444" s="518">
        <f aca="true" t="shared" si="1" ref="A444:A455">IF(M444=" + ",1,0)</f>
        <v>0</v>
      </c>
      <c r="B444" s="521" t="s">
        <v>11</v>
      </c>
      <c r="C444" s="521"/>
      <c r="D444" s="521"/>
      <c r="E444" s="521"/>
      <c r="F444" s="521"/>
      <c r="G444" s="521"/>
      <c r="H444" s="521"/>
      <c r="I444" s="521"/>
      <c r="J444" s="521"/>
      <c r="K444" s="521"/>
      <c r="L444" s="521"/>
      <c r="M444" s="522" t="str">
        <f>IF(C48&lt;&gt;""," + ","не заполнено")</f>
        <v>не заполнено</v>
      </c>
      <c r="N444" s="521"/>
      <c r="O444" s="521"/>
      <c r="P444" s="521"/>
      <c r="Q444" s="521"/>
      <c r="R444" s="521"/>
      <c r="S444" s="521"/>
      <c r="T444" s="521"/>
      <c r="U444" s="521"/>
      <c r="V444" s="521"/>
      <c r="W444" s="521"/>
      <c r="X444" s="516"/>
      <c r="Y444" s="307"/>
      <c r="Z444" s="307"/>
      <c r="AA444" s="307"/>
      <c r="AB444" s="307"/>
      <c r="AC444" s="307"/>
      <c r="AD444" s="307"/>
      <c r="AE444" s="581"/>
      <c r="AF444" s="581"/>
      <c r="AG444" s="307"/>
    </row>
    <row r="445" spans="1:33" ht="13.5">
      <c r="A445" s="518">
        <f t="shared" si="1"/>
        <v>0</v>
      </c>
      <c r="B445" s="521" t="s">
        <v>10</v>
      </c>
      <c r="C445" s="521"/>
      <c r="D445" s="521"/>
      <c r="E445" s="521"/>
      <c r="F445" s="521"/>
      <c r="G445" s="521"/>
      <c r="H445" s="521"/>
      <c r="I445" s="521"/>
      <c r="J445" s="521"/>
      <c r="K445" s="521"/>
      <c r="L445" s="521"/>
      <c r="M445" s="522" t="str">
        <f>IF(E51&lt;&gt;""," + ","не заполнено")</f>
        <v>не заполнено</v>
      </c>
      <c r="N445" s="521"/>
      <c r="O445" s="521"/>
      <c r="P445" s="521"/>
      <c r="Q445" s="521"/>
      <c r="R445" s="521"/>
      <c r="S445" s="521"/>
      <c r="T445" s="521"/>
      <c r="U445" s="521"/>
      <c r="V445" s="521"/>
      <c r="W445" s="521"/>
      <c r="X445" s="516"/>
      <c r="Y445" s="307"/>
      <c r="Z445" s="307"/>
      <c r="AA445" s="307"/>
      <c r="AB445" s="307"/>
      <c r="AC445" s="307"/>
      <c r="AD445" s="307"/>
      <c r="AE445" s="581"/>
      <c r="AF445" s="581"/>
      <c r="AG445" s="307"/>
    </row>
    <row r="446" spans="1:33" ht="13.5">
      <c r="A446" s="518">
        <f t="shared" si="1"/>
        <v>0</v>
      </c>
      <c r="B446" s="521" t="s">
        <v>12</v>
      </c>
      <c r="C446" s="521"/>
      <c r="D446" s="521"/>
      <c r="E446" s="521"/>
      <c r="F446" s="521"/>
      <c r="G446" s="521"/>
      <c r="H446" s="521"/>
      <c r="I446" s="521"/>
      <c r="J446" s="521"/>
      <c r="K446" s="521"/>
      <c r="L446" s="521"/>
      <c r="M446" s="522" t="str">
        <f>IF(D52&lt;&gt;""," + ","не заполнено")</f>
        <v>не заполнено</v>
      </c>
      <c r="N446" s="521"/>
      <c r="O446" s="521"/>
      <c r="P446" s="521"/>
      <c r="Q446" s="521"/>
      <c r="R446" s="521"/>
      <c r="S446" s="521"/>
      <c r="T446" s="521"/>
      <c r="U446" s="521"/>
      <c r="V446" s="521"/>
      <c r="W446" s="521"/>
      <c r="X446" s="516"/>
      <c r="Y446" s="307"/>
      <c r="Z446" s="307"/>
      <c r="AA446" s="307"/>
      <c r="AB446" s="307"/>
      <c r="AC446" s="307"/>
      <c r="AD446" s="307"/>
      <c r="AE446" s="581"/>
      <c r="AF446" s="581"/>
      <c r="AG446" s="307"/>
    </row>
    <row r="447" spans="1:33" ht="13.5">
      <c r="A447" s="518">
        <f t="shared" si="1"/>
        <v>1</v>
      </c>
      <c r="B447" s="521" t="s">
        <v>14</v>
      </c>
      <c r="C447" s="521"/>
      <c r="D447" s="521"/>
      <c r="E447" s="521"/>
      <c r="F447" s="521"/>
      <c r="G447" s="521"/>
      <c r="H447" s="521"/>
      <c r="I447" s="521"/>
      <c r="J447" s="521"/>
      <c r="K447" s="521"/>
      <c r="L447" s="521"/>
      <c r="M447" s="522" t="str">
        <f>IF(E54&gt;0," + ","не заполнено")</f>
        <v> + </v>
      </c>
      <c r="N447" s="521"/>
      <c r="O447" s="521"/>
      <c r="P447" s="521"/>
      <c r="Q447" s="521"/>
      <c r="R447" s="521"/>
      <c r="S447" s="521"/>
      <c r="T447" s="521"/>
      <c r="U447" s="521"/>
      <c r="V447" s="521"/>
      <c r="W447" s="521"/>
      <c r="X447" s="516"/>
      <c r="Y447" s="307"/>
      <c r="Z447" s="307"/>
      <c r="AA447" s="307"/>
      <c r="AB447" s="307"/>
      <c r="AC447" s="307"/>
      <c r="AD447" s="307"/>
      <c r="AE447" s="581"/>
      <c r="AF447" s="581"/>
      <c r="AG447" s="307"/>
    </row>
    <row r="448" spans="1:33" ht="13.5">
      <c r="A448" s="518">
        <f t="shared" si="1"/>
        <v>0</v>
      </c>
      <c r="B448" s="521" t="s">
        <v>15</v>
      </c>
      <c r="C448" s="521"/>
      <c r="D448" s="521"/>
      <c r="E448" s="521"/>
      <c r="F448" s="521"/>
      <c r="G448" s="521"/>
      <c r="H448" s="521"/>
      <c r="I448" s="521"/>
      <c r="J448" s="521"/>
      <c r="K448" s="521"/>
      <c r="L448" s="521"/>
      <c r="M448" s="522" t="str">
        <f>IF(G55&lt;&gt;""," + ","не заполнено")</f>
        <v>не заполнено</v>
      </c>
      <c r="N448" s="521"/>
      <c r="O448" s="521"/>
      <c r="P448" s="521"/>
      <c r="Q448" s="521"/>
      <c r="R448" s="521"/>
      <c r="S448" s="521"/>
      <c r="T448" s="521"/>
      <c r="U448" s="521"/>
      <c r="V448" s="521"/>
      <c r="W448" s="521"/>
      <c r="X448" s="516"/>
      <c r="Y448" s="307"/>
      <c r="Z448" s="307"/>
      <c r="AA448" s="307"/>
      <c r="AB448" s="307"/>
      <c r="AC448" s="307"/>
      <c r="AD448" s="307"/>
      <c r="AE448" s="581"/>
      <c r="AF448" s="581"/>
      <c r="AG448" s="307"/>
    </row>
    <row r="449" spans="1:33" ht="13.5">
      <c r="A449" s="518">
        <f t="shared" si="1"/>
        <v>0</v>
      </c>
      <c r="B449" s="521" t="s">
        <v>16</v>
      </c>
      <c r="C449" s="521"/>
      <c r="D449" s="521"/>
      <c r="E449" s="521"/>
      <c r="F449" s="521"/>
      <c r="G449" s="521"/>
      <c r="H449" s="521"/>
      <c r="I449" s="521"/>
      <c r="J449" s="521"/>
      <c r="K449" s="521"/>
      <c r="L449" s="521"/>
      <c r="M449" s="522" t="str">
        <f>IF(P55&lt;&gt;""," + ",IF(G55="нет"," + ","не заполнено"))</f>
        <v>не заполнено</v>
      </c>
      <c r="N449" s="521"/>
      <c r="O449" s="521"/>
      <c r="P449" s="521"/>
      <c r="Q449" s="521"/>
      <c r="R449" s="521"/>
      <c r="S449" s="521"/>
      <c r="T449" s="521"/>
      <c r="U449" s="521"/>
      <c r="V449" s="521"/>
      <c r="W449" s="521"/>
      <c r="X449" s="516"/>
      <c r="Y449" s="307"/>
      <c r="Z449" s="307"/>
      <c r="AA449" s="307"/>
      <c r="AB449" s="307"/>
      <c r="AC449" s="307"/>
      <c r="AD449" s="307"/>
      <c r="AE449" s="581"/>
      <c r="AF449" s="581"/>
      <c r="AG449" s="307"/>
    </row>
    <row r="450" spans="1:33" ht="13.5">
      <c r="A450" s="518">
        <f t="shared" si="1"/>
        <v>0</v>
      </c>
      <c r="B450" s="521" t="s">
        <v>18</v>
      </c>
      <c r="C450" s="521"/>
      <c r="D450" s="521"/>
      <c r="E450" s="521"/>
      <c r="F450" s="521"/>
      <c r="G450" s="521"/>
      <c r="H450" s="521"/>
      <c r="I450" s="521"/>
      <c r="J450" s="521"/>
      <c r="K450" s="521"/>
      <c r="L450" s="521"/>
      <c r="M450" s="522" t="str">
        <f>IF(z_kateg&lt;&gt;""," + "," - ")</f>
        <v> - </v>
      </c>
      <c r="N450" s="615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50" s="521"/>
      <c r="P450" s="521"/>
      <c r="Q450" s="521"/>
      <c r="R450" s="521"/>
      <c r="S450" s="521"/>
      <c r="T450" s="521"/>
      <c r="U450" s="521"/>
      <c r="V450" s="521"/>
      <c r="W450" s="521"/>
      <c r="X450" s="516"/>
      <c r="Y450" s="307"/>
      <c r="Z450" s="307"/>
      <c r="AA450" s="307"/>
      <c r="AB450" s="307"/>
      <c r="AC450" s="307"/>
      <c r="AD450" s="307"/>
      <c r="AE450" s="581"/>
      <c r="AF450" s="581"/>
      <c r="AG450" s="307"/>
    </row>
    <row r="451" spans="1:33" ht="13.5">
      <c r="A451" s="518">
        <f t="shared" si="1"/>
        <v>0</v>
      </c>
      <c r="B451" s="521" t="s">
        <v>243</v>
      </c>
      <c r="C451" s="521"/>
      <c r="D451" s="521"/>
      <c r="E451" s="521"/>
      <c r="F451" s="521"/>
      <c r="G451" s="521"/>
      <c r="H451" s="521"/>
      <c r="I451" s="521"/>
      <c r="J451" s="521"/>
      <c r="K451" s="521"/>
      <c r="L451" s="521"/>
      <c r="M451" s="522" t="str">
        <f>IF(H92&lt;&gt;""," + ","не заполнено")</f>
        <v>не заполнено</v>
      </c>
      <c r="N451" s="521"/>
      <c r="O451" s="521"/>
      <c r="P451" s="521"/>
      <c r="Q451" s="521"/>
      <c r="R451" s="521"/>
      <c r="S451" s="521"/>
      <c r="T451" s="521"/>
      <c r="U451" s="521"/>
      <c r="V451" s="521"/>
      <c r="W451" s="521"/>
      <c r="X451" s="516"/>
      <c r="Y451" s="307"/>
      <c r="Z451" s="307"/>
      <c r="AA451" s="307"/>
      <c r="AB451" s="307"/>
      <c r="AC451" s="307"/>
      <c r="AD451" s="307"/>
      <c r="AE451" s="581"/>
      <c r="AF451" s="581"/>
      <c r="AG451" s="307"/>
    </row>
    <row r="452" spans="1:33" ht="13.5">
      <c r="A452" s="518">
        <f t="shared" si="1"/>
        <v>0</v>
      </c>
      <c r="B452" s="521" t="s">
        <v>260</v>
      </c>
      <c r="C452" s="521"/>
      <c r="D452" s="521"/>
      <c r="E452" s="521"/>
      <c r="F452" s="521"/>
      <c r="G452" s="521"/>
      <c r="H452" s="521"/>
      <c r="I452" s="521"/>
      <c r="J452" s="521"/>
      <c r="K452" s="523" t="s">
        <v>54</v>
      </c>
      <c r="L452" s="521"/>
      <c r="M452" s="522" t="str">
        <f>IF(H94&lt;&gt;""," + ","не заполнено")</f>
        <v>не заполнено</v>
      </c>
      <c r="N452" s="521"/>
      <c r="O452" s="521"/>
      <c r="P452" s="521"/>
      <c r="Q452" s="521"/>
      <c r="R452" s="521"/>
      <c r="S452" s="521"/>
      <c r="T452" s="521"/>
      <c r="U452" s="521"/>
      <c r="V452" s="521"/>
      <c r="W452" s="521"/>
      <c r="X452" s="516"/>
      <c r="Y452" s="307"/>
      <c r="Z452" s="307"/>
      <c r="AA452" s="307"/>
      <c r="AB452" s="307"/>
      <c r="AC452" s="307"/>
      <c r="AD452" s="307"/>
      <c r="AE452" s="581"/>
      <c r="AF452" s="581"/>
      <c r="AG452" s="307"/>
    </row>
    <row r="453" spans="1:33" ht="13.5">
      <c r="A453" s="518">
        <f t="shared" si="1"/>
        <v>1</v>
      </c>
      <c r="B453" s="521"/>
      <c r="C453" s="521"/>
      <c r="D453" s="521"/>
      <c r="E453" s="521"/>
      <c r="F453" s="521"/>
      <c r="G453" s="521"/>
      <c r="H453" s="521"/>
      <c r="I453" s="521"/>
      <c r="J453" s="521"/>
      <c r="K453" s="523" t="s">
        <v>261</v>
      </c>
      <c r="L453" s="521"/>
      <c r="M453" s="522" t="str">
        <f>IF(AND('общие сведения'!$F$107&gt;1,H96=""),"не заполнено",IF(AND('общие сведения'!$F$107&lt;2,H96&lt;&gt;""),"кол-во экспертов не предусматривает наличие второго"," + "))</f>
        <v> + </v>
      </c>
      <c r="N453" s="521"/>
      <c r="O453" s="521"/>
      <c r="P453" s="521"/>
      <c r="Q453" s="521"/>
      <c r="R453" s="521"/>
      <c r="S453" s="521"/>
      <c r="T453" s="521"/>
      <c r="U453" s="521"/>
      <c r="V453" s="521"/>
      <c r="W453" s="521"/>
      <c r="X453" s="516"/>
      <c r="Y453" s="307"/>
      <c r="Z453" s="307"/>
      <c r="AA453" s="307"/>
      <c r="AB453" s="307"/>
      <c r="AC453" s="307"/>
      <c r="AD453" s="307"/>
      <c r="AE453" s="581"/>
      <c r="AF453" s="581"/>
      <c r="AG453" s="307"/>
    </row>
    <row r="454" spans="1:33" ht="2.25" customHeight="1">
      <c r="A454" s="518">
        <f>IF(M454=" + ",1,0)</f>
        <v>0</v>
      </c>
      <c r="B454" s="521"/>
      <c r="C454" s="521"/>
      <c r="D454" s="521"/>
      <c r="E454" s="521"/>
      <c r="F454" s="521"/>
      <c r="G454" s="521"/>
      <c r="H454" s="521"/>
      <c r="I454" s="521"/>
      <c r="J454" s="521"/>
      <c r="K454" s="521"/>
      <c r="L454" s="521"/>
      <c r="M454" s="524"/>
      <c r="N454" s="521"/>
      <c r="O454" s="521"/>
      <c r="P454" s="521"/>
      <c r="Q454" s="521"/>
      <c r="R454" s="521"/>
      <c r="S454" s="521"/>
      <c r="T454" s="521"/>
      <c r="U454" s="521"/>
      <c r="V454" s="521"/>
      <c r="W454" s="521"/>
      <c r="X454" s="516"/>
      <c r="Y454" s="307"/>
      <c r="Z454" s="307"/>
      <c r="AA454" s="307"/>
      <c r="AB454" s="307"/>
      <c r="AC454" s="307"/>
      <c r="AD454" s="307"/>
      <c r="AE454" s="581"/>
      <c r="AF454" s="581"/>
      <c r="AG454" s="307"/>
    </row>
    <row r="455" spans="1:33" ht="13.5">
      <c r="A455" s="518">
        <f t="shared" si="1"/>
        <v>0</v>
      </c>
      <c r="B455" s="521" t="s">
        <v>262</v>
      </c>
      <c r="C455" s="521"/>
      <c r="D455" s="521"/>
      <c r="E455" s="521"/>
      <c r="F455" s="521"/>
      <c r="G455" s="521"/>
      <c r="H455" s="521"/>
      <c r="I455" s="521"/>
      <c r="J455" s="521"/>
      <c r="K455" s="521"/>
      <c r="L455" s="521"/>
      <c r="M455" s="522" t="str">
        <f>IF(Всего&lt;&gt;""," + ","не заполнено - подсчет автоматический")</f>
        <v>не заполнено - подсчет автоматический</v>
      </c>
      <c r="N455" s="521"/>
      <c r="O455" s="521"/>
      <c r="P455" s="521"/>
      <c r="Q455" s="521"/>
      <c r="R455" s="521"/>
      <c r="S455" s="521"/>
      <c r="T455" s="521"/>
      <c r="U455" s="521"/>
      <c r="V455" s="521"/>
      <c r="W455" s="521"/>
      <c r="X455" s="516"/>
      <c r="Y455" s="307"/>
      <c r="Z455" s="307"/>
      <c r="AA455" s="307"/>
      <c r="AB455" s="307"/>
      <c r="AC455" s="307"/>
      <c r="AD455" s="307"/>
      <c r="AE455" s="581"/>
      <c r="AF455" s="581"/>
      <c r="AG455" s="307"/>
    </row>
    <row r="456" spans="1:33" ht="6" customHeight="1">
      <c r="A456" s="518"/>
      <c r="B456" s="525"/>
      <c r="C456" s="525"/>
      <c r="D456" s="525"/>
      <c r="E456" s="525"/>
      <c r="F456" s="525"/>
      <c r="G456" s="525"/>
      <c r="H456" s="525"/>
      <c r="I456" s="525"/>
      <c r="J456" s="525"/>
      <c r="K456" s="525"/>
      <c r="L456" s="525"/>
      <c r="M456" s="526"/>
      <c r="N456" s="525"/>
      <c r="O456" s="525"/>
      <c r="P456" s="525"/>
      <c r="Q456" s="525"/>
      <c r="R456" s="525"/>
      <c r="S456" s="525"/>
      <c r="T456" s="525"/>
      <c r="U456" s="525"/>
      <c r="V456" s="525"/>
      <c r="W456" s="525"/>
      <c r="X456" s="516"/>
      <c r="Y456" s="307"/>
      <c r="Z456" s="307"/>
      <c r="AA456" s="307"/>
      <c r="AB456" s="307"/>
      <c r="AC456" s="307"/>
      <c r="AD456" s="307"/>
      <c r="AE456" s="581"/>
      <c r="AF456" s="581"/>
      <c r="AG456" s="307"/>
    </row>
    <row r="457" spans="1:123" ht="12.75">
      <c r="A457" s="517"/>
      <c r="B457" s="527" t="str">
        <f>IF($B$442="Экспертное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57" s="387"/>
      <c r="D457" s="387"/>
      <c r="E457" s="387"/>
      <c r="F457" s="387"/>
      <c r="G457" s="387"/>
      <c r="H457" s="387"/>
      <c r="I457" s="387"/>
      <c r="J457" s="387"/>
      <c r="K457" s="387"/>
      <c r="L457" s="387"/>
      <c r="M457" s="387"/>
      <c r="N457" s="387"/>
      <c r="O457" s="387"/>
      <c r="P457" s="387"/>
      <c r="Q457" s="387"/>
      <c r="R457" s="387"/>
      <c r="S457" s="387"/>
      <c r="T457" s="387"/>
      <c r="U457" s="387"/>
      <c r="V457" s="387"/>
      <c r="W457" s="387"/>
      <c r="X457" s="516"/>
      <c r="Y457" s="307"/>
      <c r="Z457" s="307"/>
      <c r="AA457" s="307"/>
      <c r="AB457" s="307"/>
      <c r="AC457" s="307"/>
      <c r="AD457" s="307"/>
      <c r="AE457" s="581"/>
      <c r="AF457" s="581"/>
      <c r="AG457" s="307"/>
      <c r="AQ457" s="307"/>
      <c r="AR457" s="307"/>
      <c r="AS457" s="307"/>
      <c r="AT457" s="307"/>
      <c r="AU457" s="307"/>
      <c r="AV457" s="307"/>
      <c r="BD457" s="307"/>
      <c r="BE457" s="307"/>
      <c r="BF457" s="307"/>
      <c r="BG457" s="307"/>
      <c r="BH457" s="307"/>
      <c r="BI457" s="307"/>
      <c r="BJ457" s="307"/>
      <c r="BK457" s="307"/>
      <c r="BS457" s="307"/>
      <c r="BT457" s="307"/>
      <c r="BU457" s="307"/>
      <c r="BV457" s="307"/>
      <c r="BW457" s="307"/>
      <c r="BX457" s="307"/>
      <c r="BY457" s="307"/>
      <c r="BZ457" s="307"/>
      <c r="CH457" s="307"/>
      <c r="CI457" s="307"/>
      <c r="CJ457" s="307"/>
      <c r="CK457" s="307"/>
      <c r="CL457" s="307"/>
      <c r="CM457" s="307"/>
      <c r="CN457" s="307"/>
      <c r="CO457" s="307"/>
      <c r="CW457" s="307"/>
      <c r="CX457" s="307"/>
      <c r="CY457" s="307"/>
      <c r="CZ457" s="307"/>
      <c r="DA457" s="307"/>
      <c r="DB457" s="307"/>
      <c r="DC457" s="307"/>
      <c r="DD457" s="307"/>
      <c r="DL457" s="307"/>
      <c r="DM457" s="307"/>
      <c r="DN457" s="307"/>
      <c r="DO457" s="307"/>
      <c r="DP457" s="307"/>
      <c r="DQ457" s="307"/>
      <c r="DR457" s="307"/>
      <c r="DS457" s="307"/>
    </row>
    <row r="458" spans="1:33" ht="12.75">
      <c r="A458" s="517"/>
      <c r="B458" s="527">
        <f>IF($B$442="Экспертное заключение ГОТОВО к печати"," Печать ЭЗ:    меню Файл-Печать   или    комбинация клавиш  CTRL+P. ","")</f>
      </c>
      <c r="C458" s="387"/>
      <c r="D458" s="387"/>
      <c r="E458" s="387"/>
      <c r="F458" s="387"/>
      <c r="G458" s="387"/>
      <c r="H458" s="387"/>
      <c r="I458" s="387"/>
      <c r="J458" s="387"/>
      <c r="K458" s="387"/>
      <c r="L458" s="387"/>
      <c r="M458" s="387"/>
      <c r="N458" s="387"/>
      <c r="O458" s="387"/>
      <c r="P458" s="387"/>
      <c r="Q458" s="387"/>
      <c r="R458" s="387"/>
      <c r="S458" s="387"/>
      <c r="T458" s="387"/>
      <c r="U458" s="387"/>
      <c r="V458" s="387"/>
      <c r="W458" s="387"/>
      <c r="X458" s="387"/>
      <c r="Y458" s="307"/>
      <c r="Z458" s="307"/>
      <c r="AA458" s="307"/>
      <c r="AB458" s="307"/>
      <c r="AC458" s="307"/>
      <c r="AD458" s="307"/>
      <c r="AE458" s="581"/>
      <c r="AF458" s="581"/>
      <c r="AG458" s="307"/>
    </row>
    <row r="459" spans="2:33" ht="12.75">
      <c r="B459" s="399"/>
      <c r="Y459" s="307"/>
      <c r="Z459" s="307"/>
      <c r="AA459" s="307"/>
      <c r="AB459" s="307"/>
      <c r="AC459" s="307"/>
      <c r="AD459" s="307"/>
      <c r="AE459" s="581"/>
      <c r="AF459" s="581"/>
      <c r="AG459" s="307"/>
    </row>
    <row r="460" spans="1:33" ht="15">
      <c r="A460" s="309"/>
      <c r="B460" s="997" t="s">
        <v>263</v>
      </c>
      <c r="C460" s="998"/>
      <c r="D460" s="998"/>
      <c r="E460" s="998"/>
      <c r="F460" s="998"/>
      <c r="G460" s="998"/>
      <c r="H460" s="998"/>
      <c r="I460" s="998"/>
      <c r="J460" s="998"/>
      <c r="K460" s="998"/>
      <c r="L460" s="998"/>
      <c r="M460" s="998"/>
      <c r="N460" s="998"/>
      <c r="O460" s="998"/>
      <c r="P460" s="998"/>
      <c r="Q460" s="998"/>
      <c r="R460" s="998"/>
      <c r="S460" s="998"/>
      <c r="T460" s="998"/>
      <c r="U460" s="998"/>
      <c r="V460" s="999"/>
      <c r="W460" s="309"/>
      <c r="Y460" s="307"/>
      <c r="Z460" s="307"/>
      <c r="AA460" s="307"/>
      <c r="AB460" s="307"/>
      <c r="AC460" s="307"/>
      <c r="AD460" s="307"/>
      <c r="AE460" s="581"/>
      <c r="AF460" s="581"/>
      <c r="AG460" s="307"/>
    </row>
    <row r="461" spans="23:33" ht="4.5" customHeight="1">
      <c r="W461" s="269"/>
      <c r="Y461" s="307"/>
      <c r="Z461" s="307"/>
      <c r="AA461" s="307"/>
      <c r="AB461" s="307"/>
      <c r="AC461" s="307"/>
      <c r="AD461" s="307"/>
      <c r="AE461" s="581"/>
      <c r="AF461" s="581"/>
      <c r="AG461" s="307"/>
    </row>
    <row r="462" spans="1:33" ht="15">
      <c r="A462" s="309"/>
      <c r="B462" s="997" t="s">
        <v>264</v>
      </c>
      <c r="C462" s="998"/>
      <c r="D462" s="998"/>
      <c r="E462" s="998"/>
      <c r="F462" s="998"/>
      <c r="G462" s="998"/>
      <c r="H462" s="998"/>
      <c r="I462" s="998"/>
      <c r="J462" s="998"/>
      <c r="K462" s="998"/>
      <c r="L462" s="998"/>
      <c r="M462" s="998"/>
      <c r="N462" s="998"/>
      <c r="O462" s="998"/>
      <c r="P462" s="998"/>
      <c r="Q462" s="998"/>
      <c r="R462" s="998"/>
      <c r="S462" s="998"/>
      <c r="T462" s="998"/>
      <c r="U462" s="998"/>
      <c r="V462" s="999"/>
      <c r="W462" s="309"/>
      <c r="Y462" s="307"/>
      <c r="Z462" s="307"/>
      <c r="AA462" s="307"/>
      <c r="AB462" s="307"/>
      <c r="AC462" s="307"/>
      <c r="AD462" s="307"/>
      <c r="AE462" s="581"/>
      <c r="AF462" s="581"/>
      <c r="AG462" s="307"/>
    </row>
    <row r="463" spans="23:33" ht="12.75">
      <c r="W463" s="269"/>
      <c r="Y463" s="307"/>
      <c r="Z463" s="307"/>
      <c r="AA463" s="307"/>
      <c r="AB463" s="307"/>
      <c r="AC463" s="307"/>
      <c r="AD463" s="307"/>
      <c r="AE463" s="581"/>
      <c r="AF463" s="581"/>
      <c r="AG463" s="307"/>
    </row>
    <row r="464" spans="25:33" ht="12.75">
      <c r="Y464" s="307"/>
      <c r="Z464" s="307"/>
      <c r="AA464" s="307"/>
      <c r="AB464" s="307"/>
      <c r="AC464" s="307"/>
      <c r="AD464" s="307"/>
      <c r="AE464" s="581"/>
      <c r="AF464" s="581"/>
      <c r="AG464" s="307"/>
    </row>
    <row r="465" spans="25:33" ht="12.75">
      <c r="Y465" s="307"/>
      <c r="Z465" s="307"/>
      <c r="AA465" s="307"/>
      <c r="AB465" s="307"/>
      <c r="AC465" s="307"/>
      <c r="AD465" s="307"/>
      <c r="AE465" s="581"/>
      <c r="AF465" s="581"/>
      <c r="AG465" s="307"/>
    </row>
    <row r="466" spans="25:33" ht="12.75">
      <c r="Y466" s="307"/>
      <c r="Z466" s="307"/>
      <c r="AA466" s="307"/>
      <c r="AB466" s="307"/>
      <c r="AC466" s="307"/>
      <c r="AD466" s="307"/>
      <c r="AE466" s="581"/>
      <c r="AF466" s="581"/>
      <c r="AG466" s="307"/>
    </row>
  </sheetData>
  <sheetProtection password="CF6C" sheet="1" objects="1" scenarios="1"/>
  <mergeCells count="533">
    <mergeCell ref="H98:W98"/>
    <mergeCell ref="H99:W99"/>
    <mergeCell ref="K370:O371"/>
    <mergeCell ref="P370:T371"/>
    <mergeCell ref="K372:O373"/>
    <mergeCell ref="P372:T373"/>
    <mergeCell ref="C100:K100"/>
    <mergeCell ref="P367:T369"/>
    <mergeCell ref="H370:J373"/>
    <mergeCell ref="K366:O366"/>
    <mergeCell ref="U366:W366"/>
    <mergeCell ref="U374:W375"/>
    <mergeCell ref="L100:R100"/>
    <mergeCell ref="A367:A375"/>
    <mergeCell ref="B367:E373"/>
    <mergeCell ref="F367:G369"/>
    <mergeCell ref="H367:J369"/>
    <mergeCell ref="K367:O369"/>
    <mergeCell ref="H374:J375"/>
    <mergeCell ref="B236:J242"/>
    <mergeCell ref="A364:A366"/>
    <mergeCell ref="B364:E366"/>
    <mergeCell ref="F364:W364"/>
    <mergeCell ref="F365:W365"/>
    <mergeCell ref="F366:G366"/>
    <mergeCell ref="H366:J366"/>
    <mergeCell ref="K374:O375"/>
    <mergeCell ref="P374:T375"/>
    <mergeCell ref="B265:J268"/>
    <mergeCell ref="B269:J272"/>
    <mergeCell ref="B258:J261"/>
    <mergeCell ref="B262:J264"/>
    <mergeCell ref="B282:E284"/>
    <mergeCell ref="I284:K284"/>
    <mergeCell ref="F284:H284"/>
    <mergeCell ref="K260:O260"/>
    <mergeCell ref="L284:O284"/>
    <mergeCell ref="I277:M277"/>
    <mergeCell ref="B299:E304"/>
    <mergeCell ref="A285:A291"/>
    <mergeCell ref="A292:A298"/>
    <mergeCell ref="A299:A305"/>
    <mergeCell ref="B285:E290"/>
    <mergeCell ref="B291:E291"/>
    <mergeCell ref="B292:E296"/>
    <mergeCell ref="B297:E298"/>
    <mergeCell ref="B305:E305"/>
    <mergeCell ref="I288:K289"/>
    <mergeCell ref="I290:K291"/>
    <mergeCell ref="I292:K294"/>
    <mergeCell ref="I295:K296"/>
    <mergeCell ref="A206:A216"/>
    <mergeCell ref="A221:A225"/>
    <mergeCell ref="A226:A232"/>
    <mergeCell ref="K259:W259"/>
    <mergeCell ref="I285:K287"/>
    <mergeCell ref="A243:A246"/>
    <mergeCell ref="F290:H291"/>
    <mergeCell ref="F282:W282"/>
    <mergeCell ref="F283:W283"/>
    <mergeCell ref="F297:H298"/>
    <mergeCell ref="F285:H287"/>
    <mergeCell ref="F288:H289"/>
    <mergeCell ref="F292:H294"/>
    <mergeCell ref="L296:O296"/>
    <mergeCell ref="L295:O295"/>
    <mergeCell ref="P290:S291"/>
    <mergeCell ref="F304:H305"/>
    <mergeCell ref="I304:K305"/>
    <mergeCell ref="I299:K301"/>
    <mergeCell ref="I302:K303"/>
    <mergeCell ref="F295:H296"/>
    <mergeCell ref="F299:H301"/>
    <mergeCell ref="F302:H303"/>
    <mergeCell ref="I297:K298"/>
    <mergeCell ref="A306:A308"/>
    <mergeCell ref="B306:E308"/>
    <mergeCell ref="F306:W306"/>
    <mergeCell ref="F307:W307"/>
    <mergeCell ref="P308:W308"/>
    <mergeCell ref="F308:H308"/>
    <mergeCell ref="I308:O308"/>
    <mergeCell ref="F322:H323"/>
    <mergeCell ref="A309:A315"/>
    <mergeCell ref="B309:E313"/>
    <mergeCell ref="P309:W313"/>
    <mergeCell ref="B314:E315"/>
    <mergeCell ref="P314:W315"/>
    <mergeCell ref="F309:H313"/>
    <mergeCell ref="F314:H315"/>
    <mergeCell ref="I309:O313"/>
    <mergeCell ref="I314:O315"/>
    <mergeCell ref="I333:K333"/>
    <mergeCell ref="I334:K336"/>
    <mergeCell ref="I337:K339"/>
    <mergeCell ref="I331:W331"/>
    <mergeCell ref="I332:W332"/>
    <mergeCell ref="B331:H333"/>
    <mergeCell ref="B334:H339"/>
    <mergeCell ref="T337:W338"/>
    <mergeCell ref="T333:W333"/>
    <mergeCell ref="L334:O336"/>
    <mergeCell ref="I340:K341"/>
    <mergeCell ref="A334:A341"/>
    <mergeCell ref="B340:H341"/>
    <mergeCell ref="A319:A323"/>
    <mergeCell ref="A342:A344"/>
    <mergeCell ref="B342:H344"/>
    <mergeCell ref="I342:W342"/>
    <mergeCell ref="A331:A333"/>
    <mergeCell ref="L333:O333"/>
    <mergeCell ref="P333:S333"/>
    <mergeCell ref="I343:W343"/>
    <mergeCell ref="A345:A350"/>
    <mergeCell ref="B345:H348"/>
    <mergeCell ref="B401:J401"/>
    <mergeCell ref="B439:W440"/>
    <mergeCell ref="L415:O416"/>
    <mergeCell ref="P415:S416"/>
    <mergeCell ref="T415:W416"/>
    <mergeCell ref="B405:G408"/>
    <mergeCell ref="F428:S428"/>
    <mergeCell ref="P407:S408"/>
    <mergeCell ref="T407:W408"/>
    <mergeCell ref="B442:V442"/>
    <mergeCell ref="S357:W357"/>
    <mergeCell ref="H406:K406"/>
    <mergeCell ref="L406:O406"/>
    <mergeCell ref="P406:S406"/>
    <mergeCell ref="P366:T366"/>
    <mergeCell ref="B374:E375"/>
    <mergeCell ref="F374:G375"/>
    <mergeCell ref="A351:A353"/>
    <mergeCell ref="B351:H353"/>
    <mergeCell ref="I351:W351"/>
    <mergeCell ref="I352:W352"/>
    <mergeCell ref="I353:M353"/>
    <mergeCell ref="N353:R353"/>
    <mergeCell ref="A354:A361"/>
    <mergeCell ref="I354:M356"/>
    <mergeCell ref="N354:R356"/>
    <mergeCell ref="S354:W356"/>
    <mergeCell ref="I357:M357"/>
    <mergeCell ref="N357:R357"/>
    <mergeCell ref="N359:R359"/>
    <mergeCell ref="S358:W358"/>
    <mergeCell ref="B356:H356"/>
    <mergeCell ref="B357:H361"/>
    <mergeCell ref="T406:W406"/>
    <mergeCell ref="P425:Q425"/>
    <mergeCell ref="B421:G421"/>
    <mergeCell ref="I358:M358"/>
    <mergeCell ref="N358:R358"/>
    <mergeCell ref="S353:W353"/>
    <mergeCell ref="S359:W359"/>
    <mergeCell ref="S360:W361"/>
    <mergeCell ref="I359:M359"/>
    <mergeCell ref="L407:O408"/>
    <mergeCell ref="B462:V462"/>
    <mergeCell ref="T413:W413"/>
    <mergeCell ref="H414:K414"/>
    <mergeCell ref="L414:O414"/>
    <mergeCell ref="P414:S414"/>
    <mergeCell ref="H415:K416"/>
    <mergeCell ref="B422:G422"/>
    <mergeCell ref="B423:G423"/>
    <mergeCell ref="B460:V460"/>
    <mergeCell ref="A247:A250"/>
    <mergeCell ref="A251:A254"/>
    <mergeCell ref="O127:R127"/>
    <mergeCell ref="O135:R136"/>
    <mergeCell ref="O144:R145"/>
    <mergeCell ref="O153:R158"/>
    <mergeCell ref="A220:W220"/>
    <mergeCell ref="A150:A152"/>
    <mergeCell ref="S137:W140"/>
    <mergeCell ref="A172:A174"/>
    <mergeCell ref="A413:A416"/>
    <mergeCell ref="B413:G416"/>
    <mergeCell ref="H413:K413"/>
    <mergeCell ref="L413:O413"/>
    <mergeCell ref="P413:S413"/>
    <mergeCell ref="T414:W414"/>
    <mergeCell ref="P405:S405"/>
    <mergeCell ref="L405:O405"/>
    <mergeCell ref="H405:K405"/>
    <mergeCell ref="H403:W404"/>
    <mergeCell ref="S174:W174"/>
    <mergeCell ref="T196:W198"/>
    <mergeCell ref="N181:R184"/>
    <mergeCell ref="S181:W184"/>
    <mergeCell ref="S179:W180"/>
    <mergeCell ref="B349:H350"/>
    <mergeCell ref="B137:D145"/>
    <mergeCell ref="B147:W148"/>
    <mergeCell ref="K65:L65"/>
    <mergeCell ref="E125:N127"/>
    <mergeCell ref="B354:H355"/>
    <mergeCell ref="I360:M361"/>
    <mergeCell ref="N360:R361"/>
    <mergeCell ref="S135:W136"/>
    <mergeCell ref="I181:M184"/>
    <mergeCell ref="B128:D136"/>
    <mergeCell ref="S141:W141"/>
    <mergeCell ref="S142:W142"/>
    <mergeCell ref="S143:W143"/>
    <mergeCell ref="S144:W145"/>
    <mergeCell ref="Y433:AE436"/>
    <mergeCell ref="A433:W436"/>
    <mergeCell ref="B150:N152"/>
    <mergeCell ref="B153:N155"/>
    <mergeCell ref="AE342:AE361"/>
    <mergeCell ref="B403:G404"/>
    <mergeCell ref="AA342:AA361"/>
    <mergeCell ref="H422:S422"/>
    <mergeCell ref="H423:S423"/>
    <mergeCell ref="B156:N158"/>
    <mergeCell ref="S152:W152"/>
    <mergeCell ref="O152:R152"/>
    <mergeCell ref="O159:R160"/>
    <mergeCell ref="L391:O395"/>
    <mergeCell ref="P391:S395"/>
    <mergeCell ref="T405:W405"/>
    <mergeCell ref="S134:W134"/>
    <mergeCell ref="B125:D127"/>
    <mergeCell ref="AF342:AF361"/>
    <mergeCell ref="S128:W131"/>
    <mergeCell ref="S132:W132"/>
    <mergeCell ref="S133:W133"/>
    <mergeCell ref="O128:R131"/>
    <mergeCell ref="T340:W341"/>
    <mergeCell ref="T334:W336"/>
    <mergeCell ref="L339:O339"/>
    <mergeCell ref="T391:W395"/>
    <mergeCell ref="T390:W390"/>
    <mergeCell ref="L389:W389"/>
    <mergeCell ref="L107:W107"/>
    <mergeCell ref="L108:S108"/>
    <mergeCell ref="B122:W123"/>
    <mergeCell ref="O125:W126"/>
    <mergeCell ref="B159:N160"/>
    <mergeCell ref="L340:O341"/>
    <mergeCell ref="P340:S341"/>
    <mergeCell ref="T396:W397"/>
    <mergeCell ref="P380:S380"/>
    <mergeCell ref="T380:W380"/>
    <mergeCell ref="L390:O390"/>
    <mergeCell ref="P390:S390"/>
    <mergeCell ref="T319:W321"/>
    <mergeCell ref="L380:O380"/>
    <mergeCell ref="L386:O387"/>
    <mergeCell ref="L388:W388"/>
    <mergeCell ref="U370:W373"/>
    <mergeCell ref="F316:W316"/>
    <mergeCell ref="F317:W317"/>
    <mergeCell ref="P339:S339"/>
    <mergeCell ref="L318:O318"/>
    <mergeCell ref="P322:S323"/>
    <mergeCell ref="T322:W323"/>
    <mergeCell ref="T318:W318"/>
    <mergeCell ref="L322:O323"/>
    <mergeCell ref="L337:O338"/>
    <mergeCell ref="S326:W326"/>
    <mergeCell ref="B319:E322"/>
    <mergeCell ref="P318:S318"/>
    <mergeCell ref="L319:O321"/>
    <mergeCell ref="P319:S321"/>
    <mergeCell ref="B316:E318"/>
    <mergeCell ref="I318:K318"/>
    <mergeCell ref="I319:K321"/>
    <mergeCell ref="F318:H318"/>
    <mergeCell ref="F319:H321"/>
    <mergeCell ref="I322:K323"/>
    <mergeCell ref="L304:O305"/>
    <mergeCell ref="P304:S305"/>
    <mergeCell ref="T304:W305"/>
    <mergeCell ref="L303:O303"/>
    <mergeCell ref="P303:S303"/>
    <mergeCell ref="T303:W303"/>
    <mergeCell ref="T284:W284"/>
    <mergeCell ref="L289:O289"/>
    <mergeCell ref="P288:S288"/>
    <mergeCell ref="L297:O298"/>
    <mergeCell ref="P297:S298"/>
    <mergeCell ref="T297:W298"/>
    <mergeCell ref="T292:W294"/>
    <mergeCell ref="T288:W288"/>
    <mergeCell ref="P289:S289"/>
    <mergeCell ref="L288:O288"/>
    <mergeCell ref="L302:O302"/>
    <mergeCell ref="P302:S302"/>
    <mergeCell ref="T302:W302"/>
    <mergeCell ref="P292:S294"/>
    <mergeCell ref="P299:S301"/>
    <mergeCell ref="L299:O301"/>
    <mergeCell ref="T299:W301"/>
    <mergeCell ref="L292:O294"/>
    <mergeCell ref="T296:W296"/>
    <mergeCell ref="P295:S295"/>
    <mergeCell ref="T295:W295"/>
    <mergeCell ref="T290:W291"/>
    <mergeCell ref="L290:O291"/>
    <mergeCell ref="P285:S287"/>
    <mergeCell ref="T289:W289"/>
    <mergeCell ref="Y243:Y246"/>
    <mergeCell ref="Y247:Y250"/>
    <mergeCell ref="Y251:Y254"/>
    <mergeCell ref="K269:O272"/>
    <mergeCell ref="P269:S272"/>
    <mergeCell ref="T269:W272"/>
    <mergeCell ref="Y265:Y268"/>
    <mergeCell ref="Y269:Y272"/>
    <mergeCell ref="K261:O264"/>
    <mergeCell ref="P261:S264"/>
    <mergeCell ref="T261:W264"/>
    <mergeCell ref="K265:O268"/>
    <mergeCell ref="P265:S268"/>
    <mergeCell ref="T265:W268"/>
    <mergeCell ref="P260:S260"/>
    <mergeCell ref="T260:W260"/>
    <mergeCell ref="K251:O254"/>
    <mergeCell ref="T238:W238"/>
    <mergeCell ref="P239:S242"/>
    <mergeCell ref="K238:O238"/>
    <mergeCell ref="K239:O242"/>
    <mergeCell ref="T247:W250"/>
    <mergeCell ref="T251:W254"/>
    <mergeCell ref="P243:S246"/>
    <mergeCell ref="Z36:AA36"/>
    <mergeCell ref="A42:W44"/>
    <mergeCell ref="A40:W41"/>
    <mergeCell ref="E47:W47"/>
    <mergeCell ref="C48:W48"/>
    <mergeCell ref="A49:W49"/>
    <mergeCell ref="A45:W46"/>
    <mergeCell ref="A50:W50"/>
    <mergeCell ref="P55:S55"/>
    <mergeCell ref="K55:O55"/>
    <mergeCell ref="G55:H55"/>
    <mergeCell ref="B87:W90"/>
    <mergeCell ref="H92:W92"/>
    <mergeCell ref="H421:S421"/>
    <mergeCell ref="T409:W409"/>
    <mergeCell ref="T410:W410"/>
    <mergeCell ref="L411:O412"/>
    <mergeCell ref="A405:A408"/>
    <mergeCell ref="A403:A404"/>
    <mergeCell ref="H407:K408"/>
    <mergeCell ref="L409:O409"/>
    <mergeCell ref="P409:S409"/>
    <mergeCell ref="L410:O410"/>
    <mergeCell ref="H97:W97"/>
    <mergeCell ref="G56:H56"/>
    <mergeCell ref="A67:W70"/>
    <mergeCell ref="A72:W74"/>
    <mergeCell ref="A59:W63"/>
    <mergeCell ref="H93:W93"/>
    <mergeCell ref="H94:W94"/>
    <mergeCell ref="H95:W95"/>
    <mergeCell ref="H96:W96"/>
    <mergeCell ref="P410:S410"/>
    <mergeCell ref="H411:K412"/>
    <mergeCell ref="P411:S412"/>
    <mergeCell ref="T411:W412"/>
    <mergeCell ref="S153:W155"/>
    <mergeCell ref="S156:W156"/>
    <mergeCell ref="S157:W157"/>
    <mergeCell ref="S158:W158"/>
    <mergeCell ref="S159:W160"/>
    <mergeCell ref="L396:O397"/>
    <mergeCell ref="A409:A412"/>
    <mergeCell ref="B409:G412"/>
    <mergeCell ref="H409:K409"/>
    <mergeCell ref="A282:A284"/>
    <mergeCell ref="B391:K392"/>
    <mergeCell ref="B394:K397"/>
    <mergeCell ref="B393:K393"/>
    <mergeCell ref="H410:K410"/>
    <mergeCell ref="A378:A380"/>
    <mergeCell ref="B323:E323"/>
    <mergeCell ref="A265:A268"/>
    <mergeCell ref="P396:S397"/>
    <mergeCell ref="A388:A390"/>
    <mergeCell ref="A316:A318"/>
    <mergeCell ref="T285:W287"/>
    <mergeCell ref="L285:O287"/>
    <mergeCell ref="P296:S296"/>
    <mergeCell ref="P386:S387"/>
    <mergeCell ref="T386:W387"/>
    <mergeCell ref="U367:W369"/>
    <mergeCell ref="A258:A264"/>
    <mergeCell ref="K247:O250"/>
    <mergeCell ref="P247:S250"/>
    <mergeCell ref="P238:S238"/>
    <mergeCell ref="B381:K383"/>
    <mergeCell ref="L381:O385"/>
    <mergeCell ref="A236:A242"/>
    <mergeCell ref="K237:W237"/>
    <mergeCell ref="K258:W258"/>
    <mergeCell ref="P251:S254"/>
    <mergeCell ref="P284:S284"/>
    <mergeCell ref="B165:W167"/>
    <mergeCell ref="B168:W171"/>
    <mergeCell ref="B388:K390"/>
    <mergeCell ref="B378:K380"/>
    <mergeCell ref="L378:W378"/>
    <mergeCell ref="L379:W379"/>
    <mergeCell ref="B172:H174"/>
    <mergeCell ref="I172:W172"/>
    <mergeCell ref="I173:W173"/>
    <mergeCell ref="F108:I108"/>
    <mergeCell ref="P381:S385"/>
    <mergeCell ref="T381:W385"/>
    <mergeCell ref="B384:K384"/>
    <mergeCell ref="B385:K387"/>
    <mergeCell ref="A113:W113"/>
    <mergeCell ref="A269:A272"/>
    <mergeCell ref="A164:W164"/>
    <mergeCell ref="O132:R134"/>
    <mergeCell ref="O137:R141"/>
    <mergeCell ref="A181:A186"/>
    <mergeCell ref="B181:H186"/>
    <mergeCell ref="I174:M174"/>
    <mergeCell ref="N174:R174"/>
    <mergeCell ref="I349:O350"/>
    <mergeCell ref="I345:O348"/>
    <mergeCell ref="P349:W350"/>
    <mergeCell ref="P345:W346"/>
    <mergeCell ref="P347:W347"/>
    <mergeCell ref="P348:W348"/>
    <mergeCell ref="I329:M330"/>
    <mergeCell ref="N329:R330"/>
    <mergeCell ref="S329:W330"/>
    <mergeCell ref="B327:H328"/>
    <mergeCell ref="B329:H330"/>
    <mergeCell ref="I325:W325"/>
    <mergeCell ref="I326:M326"/>
    <mergeCell ref="N326:R326"/>
    <mergeCell ref="I344:O344"/>
    <mergeCell ref="P344:W344"/>
    <mergeCell ref="P334:S336"/>
    <mergeCell ref="P337:S338"/>
    <mergeCell ref="T339:W339"/>
    <mergeCell ref="A187:A192"/>
    <mergeCell ref="I187:M190"/>
    <mergeCell ref="N187:R190"/>
    <mergeCell ref="S187:W190"/>
    <mergeCell ref="I191:M192"/>
    <mergeCell ref="N191:R192"/>
    <mergeCell ref="S191:W192"/>
    <mergeCell ref="B187:H192"/>
    <mergeCell ref="A193:A195"/>
    <mergeCell ref="B193:E195"/>
    <mergeCell ref="F193:W193"/>
    <mergeCell ref="F194:W194"/>
    <mergeCell ref="F195:H195"/>
    <mergeCell ref="I195:K195"/>
    <mergeCell ref="L195:O195"/>
    <mergeCell ref="P195:S195"/>
    <mergeCell ref="T195:W195"/>
    <mergeCell ref="I196:K198"/>
    <mergeCell ref="L196:O198"/>
    <mergeCell ref="P196:S198"/>
    <mergeCell ref="I199:K202"/>
    <mergeCell ref="P202:S202"/>
    <mergeCell ref="T202:W202"/>
    <mergeCell ref="P199:S201"/>
    <mergeCell ref="T199:W201"/>
    <mergeCell ref="B201:E204"/>
    <mergeCell ref="F199:H202"/>
    <mergeCell ref="F196:H198"/>
    <mergeCell ref="F203:H204"/>
    <mergeCell ref="I203:K204"/>
    <mergeCell ref="L203:O204"/>
    <mergeCell ref="L202:O202"/>
    <mergeCell ref="L199:O201"/>
    <mergeCell ref="P203:S204"/>
    <mergeCell ref="T203:W204"/>
    <mergeCell ref="A327:A330"/>
    <mergeCell ref="I327:M328"/>
    <mergeCell ref="N327:R328"/>
    <mergeCell ref="S327:W328"/>
    <mergeCell ref="A196:A204"/>
    <mergeCell ref="A324:A326"/>
    <mergeCell ref="B324:H326"/>
    <mergeCell ref="I324:W324"/>
    <mergeCell ref="I280:M281"/>
    <mergeCell ref="N280:R281"/>
    <mergeCell ref="S280:W281"/>
    <mergeCell ref="B247:J250"/>
    <mergeCell ref="B251:J254"/>
    <mergeCell ref="B218:W219"/>
    <mergeCell ref="K236:W236"/>
    <mergeCell ref="B221:W225"/>
    <mergeCell ref="T243:W246"/>
    <mergeCell ref="K243:O246"/>
    <mergeCell ref="A278:A281"/>
    <mergeCell ref="B278:H281"/>
    <mergeCell ref="I278:M279"/>
    <mergeCell ref="N278:R279"/>
    <mergeCell ref="S278:W279"/>
    <mergeCell ref="B206:W213"/>
    <mergeCell ref="A275:A277"/>
    <mergeCell ref="B275:H277"/>
    <mergeCell ref="I275:W275"/>
    <mergeCell ref="I276:W276"/>
    <mergeCell ref="A110:W110"/>
    <mergeCell ref="B163:W163"/>
    <mergeCell ref="E128:N134"/>
    <mergeCell ref="E137:N143"/>
    <mergeCell ref="E144:N145"/>
    <mergeCell ref="E135:N136"/>
    <mergeCell ref="B114:W117"/>
    <mergeCell ref="B118:W121"/>
    <mergeCell ref="A125:A127"/>
    <mergeCell ref="S127:W127"/>
    <mergeCell ref="A175:A180"/>
    <mergeCell ref="B175:H180"/>
    <mergeCell ref="I175:M178"/>
    <mergeCell ref="N175:R178"/>
    <mergeCell ref="S175:W178"/>
    <mergeCell ref="I179:M180"/>
    <mergeCell ref="N179:R180"/>
    <mergeCell ref="N277:R277"/>
    <mergeCell ref="S277:W277"/>
    <mergeCell ref="B196:E200"/>
    <mergeCell ref="I185:M186"/>
    <mergeCell ref="N185:R186"/>
    <mergeCell ref="S185:W186"/>
    <mergeCell ref="T239:W242"/>
    <mergeCell ref="B243:J246"/>
    <mergeCell ref="B226:W232"/>
    <mergeCell ref="B214:W216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265 B269">
    <cfRule type="expression" priority="29" dxfId="45" stopIfTrue="1">
      <formula>AND($G$56="первая",$B265&lt;&gt;"")</formula>
    </cfRule>
  </conditionalFormatting>
  <conditionalFormatting sqref="K265:S272">
    <cfRule type="containsText" priority="20" dxfId="40" operator="containsText" stopIfTrue="1" text="Не заполнять">
      <formula>NOT(ISERROR(SEARCH("Не заполнять",K265)))</formula>
    </cfRule>
  </conditionalFormatting>
  <conditionalFormatting sqref="A442:W442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1">
    <dataValidation type="list" allowBlank="1" showInputMessage="1" showErrorMessage="1" sqref="P407:S408">
      <formula1>AD407</formula1>
    </dataValidation>
    <dataValidation type="list" allowBlank="1" showInputMessage="1" showErrorMessage="1" sqref="T407:W408">
      <formula1>$AE407</formula1>
    </dataValidation>
    <dataValidation type="list" allowBlank="1" showInputMessage="1" showErrorMessage="1" sqref="P411:S412 P415:S416">
      <formula1>$AD$410</formula1>
    </dataValidation>
    <dataValidation type="list" allowBlank="1" showInputMessage="1" showErrorMessage="1" sqref="H374:J375 I322:O323 I203:K204 I290:K291 I304:K305 I297:K298 U374:W375">
      <formula1>"10,  "</formula1>
    </dataValidation>
    <dataValidation type="list" allowBlank="1" showInputMessage="1" showErrorMessage="1" sqref="T396:W397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25 Z81 U81:V81"/>
    <dataValidation type="list" allowBlank="1" showInputMessage="1" showErrorMessage="1" sqref="P386:S387 P322:W323">
      <formula1>"20,  "</formula1>
    </dataValidation>
    <dataValidation type="list" allowBlank="1" showInputMessage="1" showErrorMessage="1" sqref="P396:S397 S179:W180 S185:W186 S191:W192 T386:W387">
      <formula1>"30,  "</formula1>
    </dataValidation>
    <dataValidation type="list" allowBlank="1" showInputMessage="1" showErrorMessage="1" sqref="K374:O375">
      <formula1>"20, 40, "</formula1>
    </dataValidation>
    <dataValidation type="list" allowBlank="1" showInputMessage="1" showErrorMessage="1" sqref="P374:T375">
      <formula1>"40, 60, "</formula1>
    </dataValidation>
    <dataValidation allowBlank="1" showInputMessage="1" showErrorMessage="1" promptTitle="Внимание!" prompt="Введите данные на листе &#10;&quot;Общие сведения&quot;" sqref="A433 A87 H92:J99 L108:M108 A67 A59 P109:R109 Y63:AF66 AJ63:BM66"/>
    <dataValidation type="list" allowBlank="1" showInputMessage="1" showErrorMessage="1" sqref="L407:O408">
      <formula1>$AC$407</formula1>
    </dataValidation>
    <dataValidation type="list" allowBlank="1" showInputMessage="1" showErrorMessage="1" sqref="L411:O412 L415:O416">
      <formula1>$AC$410</formula1>
    </dataValidation>
    <dataValidation type="list" allowBlank="1" showInputMessage="1" showErrorMessage="1" sqref="T411:W412 T415:W416">
      <formula1>$AE$410</formula1>
    </dataValidation>
    <dataValidation type="list" allowBlank="1" showInputMessage="1" showErrorMessage="1" sqref="N179:R180 N185:R186 N191:R192 L304:O305 L297:O298 L290:O291 L340:O341 P314:W315">
      <formula1>"10, 20, "</formula1>
    </dataValidation>
    <dataValidation type="list" allowBlank="1" showInputMessage="1" showErrorMessage="1" sqref="P349:W350">
      <formula1>"20, 40,"</formula1>
    </dataValidation>
    <dataValidation type="list" allowBlank="1" showInputMessage="1" showErrorMessage="1" sqref="N360:R361">
      <formula1>"10, 20, 30, "</formula1>
    </dataValidation>
    <dataValidation type="list" allowBlank="1" showInputMessage="1" showErrorMessage="1" sqref="S360:W361">
      <formula1>"50, 70, "</formula1>
    </dataValidation>
    <dataValidation type="list" allowBlank="1" showInputMessage="1" showErrorMessage="1" sqref="I314:O315 Q329:R330 N329:N330 P247:R247 P243:R243 P265:S272 P251:R252 Q280:R281 N280:N281">
      <formula1>"10, "</formula1>
    </dataValidation>
    <dataValidation type="list" allowBlank="1" showInputMessage="1" showErrorMessage="1" sqref="P304:S305 P290:S291">
      <formula1>"20, 30, "</formula1>
    </dataValidation>
    <dataValidation type="list" allowBlank="1" showInputMessage="1" showErrorMessage="1" sqref="T304:W305 T290:W291 P297:S298 P340:S341">
      <formula1>"30, 40, "</formula1>
    </dataValidation>
    <dataValidation type="list" allowBlank="1" showInputMessage="1" showErrorMessage="1" sqref="T297:W298 T340:W341">
      <formula1>"40, 50, "</formula1>
    </dataValidation>
    <dataValidation type="list" allowBlank="1" showInputMessage="1" showErrorMessage="1" sqref="S280:S281 U329:W330 S329:S330 T243:W254 T265:W272 U280:W281">
      <formula1>"20, "</formula1>
    </dataValidation>
    <dataValidation type="list" allowBlank="1" showInputMessage="1" showErrorMessage="1" sqref="L203:O204">
      <formula1>"10, 30, "</formula1>
    </dataValidation>
    <dataValidation type="list" allowBlank="1" showInputMessage="1" showErrorMessage="1" sqref="T203:W204">
      <formula1>"20,50, "</formula1>
    </dataValidation>
    <dataValidation type="list" allowBlank="1" showInputMessage="1" showErrorMessage="1" sqref="P203:S204">
      <formula1>"20,40,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P55:R55 E47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P91:BD93 G91:G92 H91:W91 Y91:AG92 AI91:AO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62" location="ЭЗ!A40" tooltip="Щелкните, чтобы перейти по ссылке" display="в начало Экспертного заключения"/>
    <hyperlink ref="B460:V460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2021-07-22T10:43:56Z</cp:lastPrinted>
  <dcterms:created xsi:type="dcterms:W3CDTF">2020-08-22T14:09:43Z</dcterms:created>
  <dcterms:modified xsi:type="dcterms:W3CDTF">2021-07-25T18:25:40Z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