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126" yWindow="1230" windowWidth="2431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'ЭЗ'!$A$486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'ЭЗ'!$AA$256</definedName>
    <definedName name="итого_3">'ЭЗ'!$AA$256</definedName>
    <definedName name="итого_4">'ЭЗ'!$AA$445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0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41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47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25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<sst xmlns="http://schemas.openxmlformats.org/spreadsheetml/2006/main" count="1254" uniqueCount="738">
  <si>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</si>
  <si>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</si>
  <si>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</si>
  <si>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</si>
  <si>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</si>
  <si>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</si>
  <si>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</si>
  <si>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</si>
  <si>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</si>
  <si>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</si>
  <si>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</si>
  <si>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</si>
  <si>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</si>
  <si>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</si>
  <si>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</si>
  <si>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</si>
  <si>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</si>
  <si>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</si>
  <si>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</si>
  <si>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</si>
  <si>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</si>
  <si>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</si>
  <si>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</si>
  <si>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</si>
  <si>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</si>
  <si>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</si>
  <si>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</si>
  <si>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</si>
  <si>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</si>
  <si>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</si>
  <si>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</si>
  <si>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</si>
  <si>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</si>
  <si>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</si>
  <si>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</si>
  <si>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</si>
  <si>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</si>
  <si>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</si>
  <si>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</si>
  <si>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</si>
  <si>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</si>
  <si>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</si>
  <si>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</si>
  <si>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</si>
  <si>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</si>
  <si>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</si>
  <si>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</si>
  <si>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</si>
  <si>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</si>
  <si>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</si>
  <si>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</si>
  <si>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</si>
  <si>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</si>
  <si>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</si>
  <si>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</si>
  <si>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</si>
  <si>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</si>
  <si>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</si>
  <si>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</si>
  <si>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</si>
  <si>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</si>
  <si>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</si>
  <si>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</si>
  <si>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</si>
  <si>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</si>
  <si>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</si>
  <si>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</si>
  <si>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</si>
  <si>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</si>
  <si>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</si>
  <si>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</si>
  <si>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</si>
  <si>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</si>
  <si>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</si>
  <si>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</si>
  <si>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</si>
  <si>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</si>
  <si>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</si>
  <si>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</si>
  <si>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</si>
  <si>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</si>
  <si>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</si>
  <si>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</si>
  <si>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</si>
  <si>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</si>
  <si>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</si>
  <si>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</si>
  <si>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</si>
  <si>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</si>
  <si>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</si>
  <si>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</si>
  <si>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</si>
  <si>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</si>
  <si>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</si>
  <si>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</si>
  <si>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</si>
  <si>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</si>
  <si>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</si>
  <si>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</si>
  <si>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</si>
  <si>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</si>
  <si>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</si>
  <si>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</si>
  <si>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</si>
  <si>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</si>
  <si>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</si>
  <si>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</si>
  <si>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</si>
  <si>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</si>
  <si>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</si>
  <si>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</si>
  <si>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</si>
  <si>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</si>
  <si>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</si>
  <si>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</si>
  <si>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</si>
  <si>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</si>
  <si>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</si>
  <si>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</si>
  <si>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</si>
  <si>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</si>
  <si>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</si>
  <si>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</si>
  <si>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</si>
  <si>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</si>
  <si>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</si>
  <si>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</si>
  <si>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</si>
  <si>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</si>
  <si>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</si>
  <si>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</si>
  <si>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</si>
  <si>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</si>
  <si>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</si>
  <si>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</si>
  <si>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</si>
  <si>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</si>
  <si>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</si>
  <si>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</si>
  <si>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</si>
  <si>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</si>
  <si>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</si>
  <si>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</si>
  <si>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</si>
  <si>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</si>
  <si>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</si>
  <si>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</si>
  <si>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</si>
  <si>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</si>
  <si>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</si>
  <si>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</si>
  <si>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</si>
  <si>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</si>
  <si>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</si>
  <si>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</si>
  <si>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</si>
  <si>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</si>
  <si>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</si>
  <si>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</si>
  <si>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</si>
  <si>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</si>
  <si>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</si>
  <si>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</si>
  <si>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</si>
  <si>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</si>
  <si>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</si>
  <si>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</si>
  <si>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</si>
  <si>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</si>
  <si>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</si>
  <si>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</si>
  <si>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</si>
  <si>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</si>
  <si>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</si>
  <si>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</si>
  <si>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</si>
  <si>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</si>
  <si>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</si>
  <si>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</si>
  <si>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</si>
  <si>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</si>
  <si>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</si>
  <si>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</si>
  <si>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</si>
  <si>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</si>
  <si>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</si>
  <si>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</si>
  <si>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</si>
  <si>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</si>
  <si>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</si>
  <si>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</si>
  <si>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</si>
  <si>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</si>
  <si>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</si>
  <si>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</si>
  <si>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</si>
  <si>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</si>
  <si>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</si>
  <si>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</si>
  <si>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</si>
  <si>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</si>
  <si>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</si>
  <si>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</si>
  <si>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</si>
  <si>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</si>
  <si>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</si>
  <si>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</si>
  <si>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</si>
  <si>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</si>
  <si>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</si>
  <si>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</si>
  <si>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</si>
  <si>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</si>
  <si>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</si>
  <si>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</si>
  <si>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</si>
  <si>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</si>
  <si>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</si>
  <si>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</si>
  <si>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</si>
  <si>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</si>
  <si>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</si>
  <si>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</si>
  <si>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</si>
  <si>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</si>
  <si>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</si>
  <si>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</si>
  <si>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</si>
  <si>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</si>
  <si>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</si>
  <si>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</si>
  <si>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</si>
  <si>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</si>
  <si>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</si>
  <si>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</si>
  <si>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</si>
  <si>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</si>
  <si>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3.3.7.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</si>
  <si>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</si>
  <si>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</si>
  <si>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</si>
  <si>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</si>
  <si>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</si>
  <si>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</si>
  <si>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</si>
  <si>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</si>
  <si>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</si>
  <si>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</si>
  <si>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</si>
  <si>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</si>
  <si>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</si>
  <si>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</si>
  <si>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</si>
  <si>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</si>
  <si>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</si>
  <si>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</si>
  <si>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</si>
  <si>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</si>
  <si>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</si>
  <si>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</si>
  <si>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</si>
  <si>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</si>
  <si>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</si>
  <si>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</si>
  <si>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</si>
  <si>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</si>
  <si>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</si>
  <si>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</si>
  <si>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</si>
  <si>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</si>
  <si>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</si>
  <si>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</si>
  <si>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</si>
  <si>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</si>
  <si>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</si>
  <si>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</si>
  <si>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</si>
  <si>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</si>
  <si>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</si>
  <si>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</si>
  <si>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</si>
  <si>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</si>
  <si>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</si>
  <si>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</si>
  <si>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</si>
  <si>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</si>
  <si>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</si>
  <si>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</si>
  <si>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</si>
  <si>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</si>
  <si>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</si>
  <si>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</si>
  <si>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</si>
  <si>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</si>
  <si>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публ. - 10б.</t>
  </si>
  <si>
    <t>1-2 публ. - 20б.</t>
  </si>
  <si>
    <t>1-2 публ. - 30б.</t>
  </si>
  <si>
    <t>Нет</t>
  </si>
  <si>
    <t>3 и более - 20б.</t>
  </si>
  <si>
    <t>3 и более - 30б.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</si>
  <si>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</si>
  <si>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</si>
  <si>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</si>
  <si>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</si>
  <si>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</si>
  <si>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</si>
  <si>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</si>
  <si>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</si>
  <si>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</si>
  <si>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</si>
  <si>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</si>
  <si>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</si>
  <si>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</si>
  <si>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</si>
  <si>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</si>
  <si>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</si>
  <si>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</si>
  <si>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</si>
  <si>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</si>
  <si>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</si>
  <si>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</si>
  <si>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</si>
  <si>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</si>
  <si>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</si>
  <si>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</si>
  <si>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</si>
  <si>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</si>
  <si>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</si>
  <si>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</si>
  <si>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</si>
  <si>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</si>
  <si>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</si>
  <si>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</si>
  <si>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</si>
  <si>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</si>
  <si>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</si>
  <si>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</si>
  <si>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</si>
  <si>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</si>
  <si>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</si>
  <si>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</si>
  <si>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</si>
  <si>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</si>
  <si>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</si>
  <si>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</si>
  <si>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</si>
  <si>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</si>
  <si>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</si>
  <si>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</si>
  <si>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</si>
  <si>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</si>
  <si>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</si>
  <si>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</si>
  <si>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</si>
  <si>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</si>
  <si>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</si>
  <si>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</si>
  <si>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</si>
  <si>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</si>
  <si>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</si>
  <si>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</si>
  <si>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</si>
  <si>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</si>
  <si>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</si>
  <si>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</si>
  <si>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</si>
  <si>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</si>
  <si>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</si>
  <si>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</si>
  <si>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</si>
  <si>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</si>
  <si>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</si>
  <si>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</si>
  <si>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</si>
  <si>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</si>
  <si>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</si>
  <si>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</si>
  <si>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</si>
  <si>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</si>
  <si>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</si>
  <si>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</si>
  <si>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</si>
  <si>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</si>
  <si>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</si>
  <si>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</si>
  <si>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</si>
  <si>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</si>
  <si>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</si>
  <si>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</si>
  <si>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</si>
  <si>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</si>
  <si>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</si>
  <si>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</si>
  <si>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</si>
  <si>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</si>
  <si>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</si>
  <si>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</si>
  <si>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</si>
  <si>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</si>
  <si>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</si>
  <si>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</si>
  <si>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</si>
  <si>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</si>
  <si>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</si>
  <si>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</si>
  <si>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</si>
  <si>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</si>
  <si>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</si>
  <si>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</si>
  <si>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</si>
  <si>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</si>
  <si>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</si>
  <si>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</si>
  <si>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</si>
  <si>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</si>
  <si>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</si>
  <si>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</si>
  <si>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</si>
  <si>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</si>
  <si>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</si>
  <si>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</si>
  <si>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</si>
  <si>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</si>
  <si>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</si>
  <si>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</si>
  <si>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</si>
  <si>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</si>
  <si>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</si>
  <si>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</si>
  <si>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</si>
  <si>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</si>
  <si>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</si>
  <si>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</si>
  <si>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</si>
  <si>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</si>
  <si>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</si>
  <si>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</si>
  <si>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</si>
  <si>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</si>
  <si>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</si>
  <si>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</si>
  <si>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</si>
  <si>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</si>
  <si>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</si>
  <si>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</si>
  <si>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</si>
  <si>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</si>
  <si>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</si>
  <si>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</si>
  <si>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</si>
  <si>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</si>
  <si>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</si>
  <si>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</si>
  <si>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</si>
  <si>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</si>
  <si>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</si>
  <si>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</si>
  <si>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</si>
  <si>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</si>
  <si>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</si>
  <si>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</si>
  <si>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</si>
  <si>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</si>
  <si>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</si>
  <si>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</si>
  <si>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</si>
  <si>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</si>
  <si>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</si>
  <si>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</si>
  <si>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</si>
  <si>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</si>
  <si>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</si>
  <si>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</si>
  <si>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</si>
  <si>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</si>
  <si>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</si>
  <si>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</si>
  <si>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</si>
  <si>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</si>
  <si>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</si>
  <si>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</si>
  <si>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</si>
  <si>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</si>
  <si>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</si>
  <si>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</si>
  <si>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</si>
  <si>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</si>
  <si>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</si>
  <si>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</si>
  <si>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</si>
  <si>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</si>
  <si>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</si>
  <si>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</si>
  <si>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</si>
  <si>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</si>
  <si>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</si>
  <si>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</si>
  <si>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</si>
  <si>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</si>
  <si>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</si>
  <si>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</si>
  <si>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</si>
  <si>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</si>
  <si>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</si>
  <si>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</si>
  <si>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</si>
  <si>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</si>
  <si>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</si>
  <si>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</si>
  <si>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</si>
  <si>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</si>
  <si>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</si>
  <si>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</si>
  <si>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</si>
  <si>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</si>
  <si>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</si>
  <si>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</si>
  <si>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</si>
  <si>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</si>
  <si>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</si>
  <si>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</si>
  <si>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</si>
  <si>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</si>
  <si>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</si>
  <si>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</si>
  <si>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</si>
  <si>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</si>
  <si>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</si>
  <si>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</si>
  <si>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</si>
  <si>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</si>
  <si>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</si>
  <si>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</si>
  <si>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</si>
  <si>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</si>
  <si>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</si>
  <si>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</si>
  <si>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</si>
  <si>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</si>
  <si>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</si>
  <si>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</si>
  <si>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</si>
  <si>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</si>
  <si>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</si>
  <si>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</si>
  <si>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</si>
  <si>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</si>
  <si>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</si>
  <si>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</si>
  <si>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</si>
  <si>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</si>
  <si>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</si>
  <si>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</si>
  <si>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</si>
  <si>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</si>
  <si>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</si>
  <si>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</si>
  <si>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</si>
  <si>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</si>
  <si>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</si>
  <si>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</si>
  <si>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</si>
  <si>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</si>
  <si>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</si>
  <si>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</si>
  <si>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</si>
  <si>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</si>
  <si>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</si>
  <si>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</si>
  <si>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</si>
  <si>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</si>
  <si>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</si>
  <si>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</si>
  <si>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</si>
  <si>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</si>
  <si>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</si>
  <si>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</si>
  <si>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</si>
  <si>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</si>
  <si>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</si>
  <si>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</si>
  <si>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</si>
  <si>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</si>
  <si>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</si>
  <si>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</si>
  <si>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</si>
  <si>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</si>
  <si>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</si>
  <si>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</si>
  <si>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</si>
  <si>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</si>
  <si>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</si>
  <si>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</si>
  <si>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</si>
  <si>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</si>
  <si>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</si>
  <si>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</si>
  <si>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</si>
  <si>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</si>
  <si>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</si>
  <si>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</si>
  <si>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</si>
  <si>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</si>
  <si>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</si>
  <si>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</si>
  <si>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</si>
  <si>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</si>
  <si>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</si>
  <si>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</si>
  <si>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</si>
  <si>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</si>
  <si>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</si>
  <si>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</si>
  <si>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</si>
  <si>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</si>
  <si>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</si>
  <si>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</si>
  <si>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</si>
  <si>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</si>
  <si>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</si>
  <si>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</si>
  <si>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</si>
  <si>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</si>
  <si>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</si>
  <si>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</si>
  <si>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</si>
  <si>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</si>
  <si>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</si>
  <si>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</si>
  <si>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</si>
  <si>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</si>
  <si>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</si>
  <si>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</si>
  <si>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</si>
  <si>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</si>
  <si>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</si>
  <si>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</si>
  <si>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</si>
  <si>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</si>
  <si>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</si>
  <si>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</si>
  <si>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</si>
  <si>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</si>
  <si>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</si>
  <si>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</si>
  <si>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</si>
  <si>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</si>
  <si>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</si>
  <si>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</si>
  <si>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</si>
  <si>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</si>
  <si>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</si>
  <si>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</si>
  <si>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</si>
  <si>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</si>
  <si>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 xml:space="preserve"> 2.4.</t>
  </si>
  <si>
    <t>Не 
осуществляется</t>
  </si>
  <si>
    <t>Осуществляется систематически, 
по плану</t>
  </si>
  <si>
    <t xml:space="preserve"> 2.5.</t>
  </si>
  <si>
    <t xml:space="preserve"> 2.6.</t>
  </si>
  <si>
    <t xml:space="preserve"> 2.7.</t>
  </si>
  <si>
    <t xml:space="preserve"> 2.8.</t>
  </si>
  <si>
    <t>Продуктивность деятельности педагогического работника по развитию обучающихся/ воспитанников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</si>
  <si>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</si>
  <si>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</si>
  <si>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</si>
  <si>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Приказ Минобрнауки России «Об утверждении перечня олимпиад школьников и их уровней на учебный год»</t>
  </si>
  <si>
    <t>Повышение квалификации 
(курсы повышения квалификации, стажировка)</t>
  </si>
  <si>
    <t>(далее – Прил. № 1)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</si>
  <si>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</si>
  <si>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</si>
  <si>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>Муницип./ зональный уровень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</si>
  <si>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</si>
  <si>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Муниципальный 
/ зональный уровень</t>
  </si>
  <si>
    <t># 10</t>
  </si>
  <si>
    <t>об уровне квалификации педагогического работника (инструктор по труду) 
государственных, муниципальных и частных организаций Московской области, 
осуществляющих образовательную деятельность</t>
  </si>
  <si>
    <r>
      <t xml:space="preserve">Обучение в вузе/ сузе </t>
    </r>
    <r>
      <rPr>
        <sz val="10"/>
        <rFont val="Times New Roman"/>
        <family val="1"/>
      </rPr>
      <t>(по направлению, соотв.профилю деятельности)</t>
    </r>
  </si>
  <si>
    <t>Стабильные положительные результаты и качество знаний</t>
  </si>
  <si>
    <t xml:space="preserve"> 10-40</t>
  </si>
  <si>
    <t>Победители, призеры – 10б.</t>
  </si>
  <si>
    <t>Победители, призеры – 20б.</t>
  </si>
  <si>
    <t>Победители, призеры – 30б.</t>
  </si>
  <si>
    <t>Победители, призеры – 40б.</t>
  </si>
  <si>
    <t>Победители, призеры – 
40б.</t>
  </si>
  <si>
    <t>Участие - 10б.</t>
  </si>
  <si>
    <t>Участие - 
10б.</t>
  </si>
  <si>
    <t>Результаты практической деятельности обучающихся/ воспитанников: конкурсы, турниры, выставки и др.</t>
  </si>
  <si>
    <t>Организация общественно полезного и производительного труда</t>
  </si>
  <si>
    <t>Осуществляется эпизодически</t>
  </si>
  <si>
    <t>Осуществляется системно, комплексно</t>
  </si>
  <si>
    <t>Проведение профориентационной работы</t>
  </si>
  <si>
    <t>Участие в предпрофильной подготовке подростков и организации профессионального обучения старшеклассников</t>
  </si>
  <si>
    <t>Организация и проведение мероприятий, направленных на формирование коммуникативной, информационной, правовой компетентности у обучающихся/воспитанников</t>
  </si>
  <si>
    <t>Не 
осуществляется/ Осуществляется по текущему запросу</t>
  </si>
  <si>
    <t>Осуществляется регулярно по плану с отдельными категориями обучающихся</t>
  </si>
  <si>
    <t>Осуществляется регулярно по плану, в системе, охватыва-
ющей всех участников образовательного процесса</t>
  </si>
  <si>
    <t>Организация и проведение мероприятий воспитательной и оздоровительной направленности</t>
  </si>
  <si>
    <t xml:space="preserve"> 2.9.</t>
  </si>
  <si>
    <t>Обеспечение выполнения обучающимися/воспитанниками требований охраны труда и пожарной безопасности</t>
  </si>
  <si>
    <t>Обеспечение сохранности и рационального использования оборудования и технических средств</t>
  </si>
  <si>
    <t>Осуществление текущего и профилактического ремонта оборудования и технических средств или организация его проведения</t>
  </si>
  <si>
    <t>Не 
выполняется</t>
  </si>
  <si>
    <t>Выполняется 
в полном объеме</t>
  </si>
  <si>
    <t>Выполняется 
не в полном объеме</t>
  </si>
  <si>
    <t>Методы формирования трудовых знаний, умений и навыков</t>
  </si>
  <si>
    <r>
      <t xml:space="preserve">Методы организации практической деятельности обучающихся </t>
    </r>
    <r>
      <rPr>
        <i/>
        <sz val="11"/>
        <rFont val="Times New Roman"/>
        <family val="1"/>
      </rPr>
      <t>(оценка деятельности педагогического работника через деятельность обучающихся)</t>
    </r>
  </si>
  <si>
    <t xml:space="preserve">Разработка программно-методического сопровождения образовательного процесса </t>
  </si>
  <si>
    <t>Не  
разрабатывает</t>
  </si>
  <si>
    <t>Разрабатывает  периодически</t>
  </si>
  <si>
    <t>Разрабатывает  систематически</t>
  </si>
  <si>
    <t>Проведение открытых уроков, занятий, мероприятий, мастер-классов и др.</t>
  </si>
  <si>
    <t>1-2 меропр.- 10б.</t>
  </si>
  <si>
    <t>1-2 меропр.- 30б.</t>
  </si>
  <si>
    <t>1-2 меропр.- 40б.</t>
  </si>
  <si>
    <t>3  и более - 40б. </t>
  </si>
  <si>
    <t xml:space="preserve"> 20-40</t>
  </si>
  <si>
    <t xml:space="preserve"> 30-50</t>
  </si>
  <si>
    <t>Участие в деятельности экспертных, апелляционных, предметных комиссий, профессиональных ассоциаций (ПА), жюри профессиональных конкурсов и др.</t>
  </si>
  <si>
    <t>1-2 комис./ ПА/ жюри  - 20б.</t>
  </si>
  <si>
    <t>3.3.10.</t>
  </si>
  <si>
    <t>3.3.8.</t>
  </si>
  <si>
    <t xml:space="preserve">Муницип. уровень
</t>
  </si>
  <si>
    <t xml:space="preserve">Зональный уровень
</t>
  </si>
  <si>
    <t>1-2 меропр.- 20б.</t>
  </si>
  <si>
    <t>Личное участие педагога в выставочной деятельности</t>
  </si>
  <si>
    <t>Руководство методическими объединениями (методическими/ предметно-цикловыми комиссиями)</t>
  </si>
  <si>
    <t>Не 
руководит</t>
  </si>
  <si>
    <t>Уровень образовательной организации</t>
  </si>
  <si>
    <t>Муниципальный/ зональный/ районный уровень</t>
  </si>
  <si>
    <t>1-2 год - 10б.</t>
  </si>
  <si>
    <t>1-2 год - 20б.</t>
  </si>
  <si>
    <t>3.3.9.</t>
  </si>
  <si>
    <t>Результаты сформированности трудовых умений и навыков у обучающихся/ воспитанников по итогам мониторингов, проводимых организацией</t>
  </si>
  <si>
    <t>Динамика результатов сформированности трудовых умений и навыков у обучающихся/ воспитанников по итогам мониторингов, проводимых организацией</t>
  </si>
  <si>
    <t>Положительная динамика
 результатов и 
качества знаний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</si>
  <si>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</si>
  <si>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 - - -  - - - -  - - - -  - - - -  - - - -  - - - -  - - - -  - - - -  
 </t>
    </r>
    <r>
      <rPr>
        <b/>
        <sz val="11"/>
        <color indexed="18"/>
        <rFont val="Arial"/>
        <family val="2"/>
      </rPr>
      <t>инструктора по труду</t>
    </r>
    <r>
      <rPr>
        <b/>
        <sz val="10"/>
        <color indexed="18"/>
        <rFont val="Arial"/>
        <family val="2"/>
      </rPr>
      <t xml:space="preserve">
  - - - -  - - - -  - - - -  - - - -  - - - -  - - - -  - - - -  - - - -  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</si>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</sst>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Arial"/>
      <family val="2"/>
    </font>
    <font>
      <sz val="11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b/>
      <sz val="11"/>
      <color theme="0" tint="-0.3499799966812134"/>
      <name val="Arial"/>
      <family val="2"/>
    </font>
    <font>
      <b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2" fillId="44" borderId="0" xfId="0" applyFont="1" applyFill="1" applyBorder="1" applyAlignment="1" applyProtection="1">
      <alignment horizontal="center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292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/>
      <protection hidden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3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5" fillId="0" borderId="12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Fill="1" applyBorder="1" applyAlignment="1" applyProtection="1">
      <alignment horizontal="left" vertical="top" wrapText="1" indent="2"/>
      <protection hidden="1"/>
    </xf>
    <xf numFmtId="0" fontId="295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6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297" fillId="0" borderId="15" xfId="0" applyFont="1" applyBorder="1" applyAlignment="1" applyProtection="1">
      <alignment horizontal="center" vertical="center" wrapText="1"/>
      <protection hidden="1" locked="0"/>
    </xf>
    <xf numFmtId="0" fontId="297" fillId="0" borderId="19" xfId="0" applyFont="1" applyBorder="1" applyAlignment="1" applyProtection="1">
      <alignment horizontal="center" vertical="center" wrapText="1"/>
      <protection hidden="1" locked="0"/>
    </xf>
    <xf numFmtId="0" fontId="297" fillId="0" borderId="26" xfId="0" applyFont="1" applyBorder="1" applyAlignment="1" applyProtection="1">
      <alignment horizontal="center" vertical="center" wrapText="1"/>
      <protection hidden="1" locked="0"/>
    </xf>
    <xf numFmtId="0" fontId="297" fillId="0" borderId="23" xfId="0" applyFont="1" applyBorder="1" applyAlignment="1" applyProtection="1">
      <alignment horizontal="center" vertical="center" wrapText="1"/>
      <protection hidden="1" locked="0"/>
    </xf>
    <xf numFmtId="0" fontId="297" fillId="0" borderId="14" xfId="0" applyFont="1" applyBorder="1" applyAlignment="1" applyProtection="1">
      <alignment horizontal="center" vertical="center" wrapText="1"/>
      <protection hidden="1" locked="0"/>
    </xf>
    <xf numFmtId="0" fontId="297" fillId="0" borderId="18" xfId="0" applyFont="1" applyBorder="1" applyAlignment="1" applyProtection="1">
      <alignment horizontal="center" vertical="center" wrapText="1"/>
      <protection hidden="1" locked="0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49" fontId="298" fillId="0" borderId="16" xfId="0" applyNumberFormat="1" applyFont="1" applyBorder="1" applyAlignment="1" applyProtection="1">
      <alignment horizontal="center" vertical="center" wrapText="1"/>
      <protection hidden="1"/>
    </xf>
    <xf numFmtId="49" fontId="298" fillId="0" borderId="24" xfId="0" applyNumberFormat="1" applyFont="1" applyBorder="1" applyAlignment="1" applyProtection="1">
      <alignment horizontal="center" vertical="center" wrapText="1"/>
      <protection hidden="1"/>
    </xf>
    <xf numFmtId="49" fontId="298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299" fillId="0" borderId="12" xfId="0" applyFont="1" applyBorder="1" applyAlignment="1" applyProtection="1">
      <alignment horizontal="left" vertical="center" indent="1"/>
      <protection hidden="1"/>
    </xf>
    <xf numFmtId="0" fontId="299" fillId="0" borderId="0" xfId="0" applyFont="1" applyBorder="1" applyAlignment="1" applyProtection="1">
      <alignment horizontal="left" vertical="center" indent="1"/>
      <protection hidden="1"/>
    </xf>
    <xf numFmtId="0" fontId="299" fillId="0" borderId="13" xfId="0" applyFont="1" applyBorder="1" applyAlignment="1" applyProtection="1">
      <alignment horizontal="left" vertical="center" indent="1"/>
      <protection hidden="1"/>
    </xf>
    <xf numFmtId="0" fontId="299" fillId="0" borderId="12" xfId="0" applyFont="1" applyBorder="1" applyAlignment="1" applyProtection="1">
      <alignment horizontal="center" vertical="center"/>
      <protection hidden="1"/>
    </xf>
    <xf numFmtId="0" fontId="299" fillId="0" borderId="0" xfId="0" applyFont="1" applyBorder="1" applyAlignment="1" applyProtection="1">
      <alignment horizontal="center" vertical="center"/>
      <protection hidden="1"/>
    </xf>
    <xf numFmtId="0" fontId="299" fillId="0" borderId="13" xfId="0" applyFont="1" applyBorder="1" applyAlignment="1" applyProtection="1">
      <alignment horizontal="center" vertical="center"/>
      <protection hidden="1"/>
    </xf>
    <xf numFmtId="0" fontId="299" fillId="0" borderId="23" xfId="0" applyFont="1" applyBorder="1" applyAlignment="1" applyProtection="1">
      <alignment horizontal="left" vertical="top" indent="1"/>
      <protection hidden="1"/>
    </xf>
    <xf numFmtId="0" fontId="299" fillId="0" borderId="14" xfId="0" applyFont="1" applyBorder="1" applyAlignment="1" applyProtection="1">
      <alignment horizontal="left" vertical="top" indent="1"/>
      <protection hidden="1"/>
    </xf>
    <xf numFmtId="0" fontId="299" fillId="0" borderId="18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0" fillId="0" borderId="15" xfId="0" applyFont="1" applyBorder="1" applyAlignment="1" applyProtection="1">
      <alignment horizontal="center" vertical="center"/>
      <protection hidden="1"/>
    </xf>
    <xf numFmtId="0" fontId="300" fillId="0" borderId="19" xfId="0" applyFont="1" applyBorder="1" applyAlignment="1" applyProtection="1">
      <alignment horizontal="center" vertical="center"/>
      <protection hidden="1"/>
    </xf>
    <xf numFmtId="0" fontId="300" fillId="0" borderId="26" xfId="0" applyFont="1" applyBorder="1" applyAlignment="1" applyProtection="1">
      <alignment horizontal="center" vertical="center"/>
      <protection hidden="1"/>
    </xf>
    <xf numFmtId="0" fontId="300" fillId="0" borderId="12" xfId="0" applyFont="1" applyBorder="1" applyAlignment="1" applyProtection="1">
      <alignment horizontal="center" vertical="center"/>
      <protection hidden="1"/>
    </xf>
    <xf numFmtId="0" fontId="300" fillId="0" borderId="0" xfId="0" applyFont="1" applyBorder="1" applyAlignment="1" applyProtection="1">
      <alignment horizontal="center" vertical="center"/>
      <protection hidden="1"/>
    </xf>
    <xf numFmtId="0" fontId="300" fillId="0" borderId="13" xfId="0" applyFont="1" applyBorder="1" applyAlignment="1" applyProtection="1">
      <alignment horizontal="center" vertical="center"/>
      <protection hidden="1"/>
    </xf>
    <xf numFmtId="0" fontId="300" fillId="0" borderId="23" xfId="0" applyFont="1" applyBorder="1" applyAlignment="1" applyProtection="1">
      <alignment horizontal="center" vertical="center"/>
      <protection hidden="1"/>
    </xf>
    <xf numFmtId="0" fontId="300" fillId="0" borderId="14" xfId="0" applyFont="1" applyBorder="1" applyAlignment="1" applyProtection="1">
      <alignment horizontal="center" vertical="center"/>
      <protection hidden="1"/>
    </xf>
    <xf numFmtId="0" fontId="300" fillId="0" borderId="18" xfId="0" applyFont="1" applyBorder="1" applyAlignment="1" applyProtection="1">
      <alignment horizontal="center" vertical="center"/>
      <protection hidden="1"/>
    </xf>
    <xf numFmtId="0" fontId="301" fillId="0" borderId="15" xfId="0" applyFont="1" applyBorder="1" applyAlignment="1" applyProtection="1">
      <alignment horizontal="left" vertical="top" wrapText="1"/>
      <protection hidden="1"/>
    </xf>
    <xf numFmtId="0" fontId="301" fillId="0" borderId="19" xfId="0" applyFont="1" applyBorder="1" applyAlignment="1" applyProtection="1">
      <alignment horizontal="left" vertical="top" wrapText="1"/>
      <protection hidden="1"/>
    </xf>
    <xf numFmtId="0" fontId="301" fillId="0" borderId="26" xfId="0" applyFont="1" applyBorder="1" applyAlignment="1" applyProtection="1">
      <alignment horizontal="left" vertical="top" wrapText="1"/>
      <protection hidden="1"/>
    </xf>
    <xf numFmtId="0" fontId="301" fillId="0" borderId="12" xfId="0" applyFont="1" applyBorder="1" applyAlignment="1" applyProtection="1">
      <alignment horizontal="left" vertical="top" wrapText="1"/>
      <protection hidden="1"/>
    </xf>
    <xf numFmtId="0" fontId="301" fillId="0" borderId="0" xfId="0" applyFont="1" applyBorder="1" applyAlignment="1" applyProtection="1">
      <alignment horizontal="left" vertical="top" wrapText="1"/>
      <protection hidden="1"/>
    </xf>
    <xf numFmtId="0" fontId="301" fillId="0" borderId="13" xfId="0" applyFont="1" applyBorder="1" applyAlignment="1" applyProtection="1">
      <alignment horizontal="left" vertical="top" wrapTex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302" fillId="0" borderId="12" xfId="0" applyFont="1" applyBorder="1" applyAlignment="1" applyProtection="1">
      <alignment horizontal="left" vertical="top" wrapText="1"/>
      <protection hidden="1"/>
    </xf>
    <xf numFmtId="0" fontId="302" fillId="0" borderId="0" xfId="0" applyFont="1" applyBorder="1" applyAlignment="1" applyProtection="1">
      <alignment horizontal="left" vertical="top" wrapText="1"/>
      <protection hidden="1"/>
    </xf>
    <xf numFmtId="0" fontId="302" fillId="0" borderId="13" xfId="0" applyFont="1" applyBorder="1" applyAlignment="1" applyProtection="1">
      <alignment horizontal="left" vertical="top" wrapText="1"/>
      <protection hidden="1"/>
    </xf>
    <xf numFmtId="0" fontId="302" fillId="0" borderId="23" xfId="0" applyFont="1" applyBorder="1" applyAlignment="1" applyProtection="1">
      <alignment horizontal="left" vertical="top" wrapText="1"/>
      <protection hidden="1"/>
    </xf>
    <xf numFmtId="0" fontId="302" fillId="0" borderId="14" xfId="0" applyFont="1" applyBorder="1" applyAlignment="1" applyProtection="1">
      <alignment horizontal="left" vertical="top" wrapText="1"/>
      <protection hidden="1"/>
    </xf>
    <xf numFmtId="0" fontId="302" fillId="0" borderId="18" xfId="0" applyFont="1" applyBorder="1" applyAlignment="1" applyProtection="1">
      <alignment horizontal="left" vertical="top" wrapText="1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0" fontId="298" fillId="0" borderId="21" xfId="0" applyFont="1" applyBorder="1" applyAlignment="1" applyProtection="1">
      <alignment horizontal="center" vertical="top"/>
      <protection hidden="1"/>
    </xf>
    <xf numFmtId="0" fontId="298" fillId="0" borderId="20" xfId="0" applyFont="1" applyBorder="1" applyAlignment="1" applyProtection="1">
      <alignment horizontal="center" vertical="top"/>
      <protection hidden="1"/>
    </xf>
    <xf numFmtId="0" fontId="298" fillId="0" borderId="22" xfId="0" applyFont="1" applyBorder="1" applyAlignment="1" applyProtection="1">
      <alignment horizontal="center" vertical="top"/>
      <protection hidden="1"/>
    </xf>
    <xf numFmtId="0" fontId="297" fillId="0" borderId="22" xfId="0" applyFont="1" applyBorder="1" applyAlignment="1" applyProtection="1">
      <alignment horizontal="center" vertical="center" wrapText="1"/>
      <protection hidden="1"/>
    </xf>
    <xf numFmtId="0" fontId="297" fillId="0" borderId="17" xfId="0" applyFont="1" applyBorder="1" applyAlignment="1" applyProtection="1">
      <alignment horizontal="center" vertical="center" wrapText="1"/>
      <protection hidden="1"/>
    </xf>
    <xf numFmtId="0" fontId="298" fillId="0" borderId="17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300" fillId="0" borderId="17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0" xfId="0" applyFont="1" applyAlignment="1" applyProtection="1">
      <alignment horizontal="center" vertical="top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82" fillId="0" borderId="0" xfId="0" applyFont="1" applyAlignment="1">
      <alignment horizontal="justify" vertical="center" wrapText="1"/>
    </xf>
    <xf numFmtId="0" fontId="82" fillId="0" borderId="0" xfId="0" applyFont="1" applyAlignment="1">
      <alignment horizontal="justify" vertical="top" wrapText="1"/>
    </xf>
    <xf numFmtId="0" fontId="32" fillId="0" borderId="17" xfId="0" applyFont="1" applyBorder="1" applyAlignment="1">
      <alignment horizontal="center" vertical="top" wrapText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10665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477</xdr:row>
      <xdr:rowOff>9525</xdr:rowOff>
    </xdr:from>
    <xdr:to>
      <xdr:col>23</xdr:col>
      <xdr:colOff>38100</xdr:colOff>
      <xdr:row>480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6408300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22" t="str">
        <f>A129</f>
        <v>Введите данные в ячейки, выделенные голубым и зеленым цветом</v>
      </c>
      <c r="B1" s="723"/>
      <c r="C1" s="723"/>
      <c r="D1" s="723"/>
      <c r="E1" s="723"/>
      <c r="F1" s="723"/>
      <c r="G1" s="723"/>
      <c r="H1" s="723"/>
      <c r="I1" s="723"/>
      <c r="J1" s="724"/>
      <c r="K1" s="1"/>
      <c r="T1" s="510" t="s">
        <v>312</v>
      </c>
    </row>
    <row r="2" spans="1:20" ht="13.5" customHeight="1">
      <c r="A2" s="702"/>
      <c r="B2" s="703"/>
      <c r="C2" s="703"/>
      <c r="D2" s="703"/>
      <c r="E2" s="703"/>
      <c r="F2" s="703"/>
      <c r="G2" s="703"/>
      <c r="H2" s="703"/>
      <c r="I2" s="703"/>
      <c r="J2" s="704"/>
      <c r="K2" s="1"/>
      <c r="T2" s="626" t="s">
        <v>674</v>
      </c>
    </row>
    <row r="3" spans="1:20" ht="37.5" customHeight="1" thickBot="1">
      <c r="A3" s="725" t="s">
        <v>0</v>
      </c>
      <c r="B3" s="726"/>
      <c r="C3" s="726"/>
      <c r="D3" s="726"/>
      <c r="E3" s="726"/>
      <c r="F3" s="726"/>
      <c r="G3" s="726"/>
      <c r="H3" s="726"/>
      <c r="I3" s="726"/>
      <c r="J3" s="727"/>
      <c r="K3" s="6"/>
      <c r="M3" s="7"/>
      <c r="S3" s="380"/>
      <c r="T3" s="373"/>
    </row>
    <row r="4" spans="1:20" ht="17.25" customHeight="1" thickBot="1">
      <c r="A4" s="495" t="s">
        <v>1</v>
      </c>
      <c r="B4" s="728">
        <v>1</v>
      </c>
      <c r="C4" s="729"/>
      <c r="D4" s="496"/>
      <c r="E4" s="505" t="s">
        <v>362</v>
      </c>
      <c r="F4" s="497"/>
      <c r="G4" s="498"/>
      <c r="H4" s="736" t="s">
        <v>180</v>
      </c>
      <c r="I4" s="736"/>
      <c r="J4" s="737"/>
      <c r="K4" s="8"/>
      <c r="L4" s="8"/>
      <c r="M4" s="8"/>
      <c r="N4" s="8"/>
      <c r="O4" s="8"/>
      <c r="P4" s="8"/>
      <c r="Q4" s="8"/>
      <c r="S4" s="380"/>
      <c r="T4" s="373"/>
    </row>
    <row r="5" spans="1:20" ht="10.5" customHeight="1">
      <c r="A5" s="499"/>
      <c r="B5" s="496"/>
      <c r="C5" s="496"/>
      <c r="D5" s="496"/>
      <c r="E5" s="506" t="str">
        <f aca="true" t="shared" si="0" ref="E5:E16">VLOOKUP(A132,$A$132:$H$144,$B$4+1)</f>
        <v>Балашиха</v>
      </c>
      <c r="F5" s="500"/>
      <c r="G5" s="375"/>
      <c r="H5" s="672" t="s">
        <v>460</v>
      </c>
      <c r="I5" s="672"/>
      <c r="J5" s="673"/>
      <c r="K5" s="8"/>
      <c r="L5" s="8"/>
      <c r="M5" s="8"/>
      <c r="N5" s="8"/>
      <c r="O5" s="8"/>
      <c r="P5" s="8"/>
      <c r="Q5" s="8"/>
      <c r="S5" s="380"/>
      <c r="T5" s="373"/>
    </row>
    <row r="6" spans="1:20" ht="10.5" customHeight="1">
      <c r="A6" s="499"/>
      <c r="B6" s="496"/>
      <c r="C6" s="496"/>
      <c r="D6" s="496"/>
      <c r="E6" s="506" t="str">
        <f t="shared" si="0"/>
        <v>Богородский</v>
      </c>
      <c r="F6" s="500"/>
      <c r="G6" s="375"/>
      <c r="H6" s="672"/>
      <c r="I6" s="672"/>
      <c r="J6" s="673"/>
      <c r="K6" s="8"/>
      <c r="L6" s="8"/>
      <c r="M6" s="8"/>
      <c r="N6" s="8"/>
      <c r="O6" s="8"/>
      <c r="P6" s="8"/>
      <c r="Q6" s="8"/>
      <c r="S6" s="380"/>
      <c r="T6" s="373"/>
    </row>
    <row r="7" spans="1:20" ht="10.5" customHeight="1">
      <c r="A7" s="499"/>
      <c r="B7" s="496"/>
      <c r="C7" s="496"/>
      <c r="D7" s="496"/>
      <c r="E7" s="506" t="str">
        <f t="shared" si="0"/>
        <v>Орехово-Зуевский</v>
      </c>
      <c r="F7" s="500"/>
      <c r="G7" s="375"/>
      <c r="H7" s="672"/>
      <c r="I7" s="672"/>
      <c r="J7" s="673"/>
      <c r="K7" s="8"/>
      <c r="L7" s="8"/>
      <c r="M7" s="8"/>
      <c r="N7" s="8"/>
      <c r="O7" s="8"/>
      <c r="P7" s="8"/>
      <c r="Q7" s="8"/>
      <c r="S7" s="380"/>
      <c r="T7" s="373"/>
    </row>
    <row r="8" spans="1:20" ht="10.5" customHeight="1" thickBot="1">
      <c r="A8" s="499"/>
      <c r="B8" s="496"/>
      <c r="C8" s="496"/>
      <c r="D8" s="496"/>
      <c r="E8" s="506" t="str">
        <f t="shared" si="0"/>
        <v>Павловский Посад</v>
      </c>
      <c r="F8" s="500"/>
      <c r="G8" s="375"/>
      <c r="H8" s="670" t="s">
        <v>507</v>
      </c>
      <c r="I8" s="670"/>
      <c r="J8" s="671"/>
      <c r="K8" s="8"/>
      <c r="L8" s="587" t="s">
        <v>534</v>
      </c>
      <c r="M8" s="586"/>
      <c r="N8" s="586"/>
      <c r="O8" s="586"/>
      <c r="P8" s="586"/>
      <c r="Q8" s="8"/>
      <c r="S8" s="380"/>
      <c r="T8" s="373"/>
    </row>
    <row r="9" spans="1:20" ht="10.5" customHeight="1" thickTop="1">
      <c r="A9" s="499"/>
      <c r="B9" s="496"/>
      <c r="C9" s="496"/>
      <c r="D9" s="496"/>
      <c r="E9" s="506" t="str">
        <f t="shared" si="0"/>
        <v>Реутов</v>
      </c>
      <c r="F9" s="500"/>
      <c r="G9" s="375"/>
      <c r="H9" s="670"/>
      <c r="I9" s="670"/>
      <c r="J9" s="671"/>
      <c r="K9" s="8"/>
      <c r="L9" s="9"/>
      <c r="M9" s="9"/>
      <c r="N9" s="9"/>
      <c r="O9" s="9"/>
      <c r="P9" s="9"/>
      <c r="S9" s="380"/>
      <c r="T9" s="373"/>
    </row>
    <row r="10" spans="1:20" ht="10.5" customHeight="1">
      <c r="A10" s="499"/>
      <c r="B10" s="496"/>
      <c r="C10" s="496"/>
      <c r="D10" s="496"/>
      <c r="E10" s="506" t="str">
        <f t="shared" si="0"/>
        <v>Черноголовка</v>
      </c>
      <c r="F10" s="500"/>
      <c r="G10" s="375"/>
      <c r="H10" s="670"/>
      <c r="I10" s="670"/>
      <c r="J10" s="671"/>
      <c r="K10" s="8"/>
      <c r="L10" s="11"/>
      <c r="N10" s="583"/>
      <c r="O10" s="585" t="str">
        <f>"порог для __"&amp;ЗаявлКатег_ОС&amp;"__"&amp;B27</f>
        <v>порог для __первая__инструктор по труду</v>
      </c>
      <c r="P10" s="584">
        <f>VLOOKUP(ЗаявлКатег_ОС,M12:N13,2)</f>
        <v>230</v>
      </c>
      <c r="S10" s="380"/>
      <c r="T10" s="373"/>
    </row>
    <row r="11" spans="1:20" ht="10.5" customHeight="1">
      <c r="A11" s="499"/>
      <c r="B11" s="496"/>
      <c r="C11" s="496"/>
      <c r="D11" s="496"/>
      <c r="E11" s="506" t="str">
        <f t="shared" si="0"/>
        <v>Электрогорск</v>
      </c>
      <c r="F11" s="500"/>
      <c r="G11" s="375"/>
      <c r="H11" s="670"/>
      <c r="I11" s="670"/>
      <c r="J11" s="671"/>
      <c r="K11" s="8"/>
      <c r="M11" s="577" t="s">
        <v>532</v>
      </c>
      <c r="N11" s="444"/>
      <c r="P11" s="582" t="s">
        <v>4</v>
      </c>
      <c r="S11" s="380"/>
      <c r="T11" s="373"/>
    </row>
    <row r="12" spans="1:20" ht="10.5" customHeight="1">
      <c r="A12" s="499"/>
      <c r="B12" s="496"/>
      <c r="C12" s="496"/>
      <c r="D12" s="496"/>
      <c r="E12" s="506" t="str">
        <f t="shared" si="0"/>
        <v>Электросталь</v>
      </c>
      <c r="F12" s="500"/>
      <c r="G12" s="375"/>
      <c r="H12" s="670"/>
      <c r="I12" s="670"/>
      <c r="J12" s="671"/>
      <c r="K12" s="8"/>
      <c r="L12" s="445"/>
      <c r="M12" s="362" t="s">
        <v>3</v>
      </c>
      <c r="N12" s="580">
        <f>VLOOKUP($B$27,$L$19:$Q$28,3)</f>
        <v>390</v>
      </c>
      <c r="P12" s="581">
        <f>VLOOKUP(B27,$L$19:$Q$28,5)</f>
        <v>10</v>
      </c>
      <c r="Q12" s="579" t="str">
        <f>VLOOKUP(B27,$L$19:$Q$28,6)</f>
        <v>инструктора по труду</v>
      </c>
      <c r="S12" s="380"/>
      <c r="T12" s="373"/>
    </row>
    <row r="13" spans="1:20" ht="12.75" customHeight="1">
      <c r="A13" s="499"/>
      <c r="B13" s="496"/>
      <c r="C13" s="496"/>
      <c r="D13" s="496"/>
      <c r="E13" s="506" t="str">
        <f t="shared" si="0"/>
        <v> </v>
      </c>
      <c r="F13" s="500"/>
      <c r="G13" s="375"/>
      <c r="H13" s="672" t="s">
        <v>736</v>
      </c>
      <c r="I13" s="672"/>
      <c r="J13" s="673"/>
      <c r="K13" s="8"/>
      <c r="M13" s="363" t="s">
        <v>2</v>
      </c>
      <c r="N13" s="580">
        <f>VLOOKUP($B$27,$L$19:$Q$28,2)</f>
        <v>230</v>
      </c>
      <c r="P13" s="578" t="str">
        <f>VLOOKUP(B27,$L$19:$Q$28,4)</f>
        <v> - </v>
      </c>
      <c r="S13" s="380"/>
      <c r="T13" s="373"/>
    </row>
    <row r="14" spans="1:20" ht="10.5" customHeight="1">
      <c r="A14" s="501"/>
      <c r="B14" s="375"/>
      <c r="C14" s="496"/>
      <c r="D14" s="496"/>
      <c r="E14" s="506" t="str">
        <f t="shared" si="0"/>
        <v> </v>
      </c>
      <c r="F14" s="500"/>
      <c r="G14" s="375"/>
      <c r="H14" s="672"/>
      <c r="I14" s="672"/>
      <c r="J14" s="673"/>
      <c r="K14" s="8"/>
      <c r="L14" s="13"/>
      <c r="N14" s="15"/>
      <c r="O14" s="15"/>
      <c r="P14" s="16"/>
      <c r="S14" s="380"/>
      <c r="T14" s="373"/>
    </row>
    <row r="15" spans="1:20" ht="10.5" customHeight="1">
      <c r="A15" s="499"/>
      <c r="B15" s="375"/>
      <c r="C15" s="496"/>
      <c r="D15" s="496"/>
      <c r="E15" s="506" t="str">
        <f t="shared" si="0"/>
        <v> </v>
      </c>
      <c r="F15" s="500"/>
      <c r="G15" s="375"/>
      <c r="H15" s="672"/>
      <c r="I15" s="672"/>
      <c r="J15" s="673"/>
      <c r="K15" s="8"/>
      <c r="L15" s="13"/>
      <c r="N15" s="14"/>
      <c r="O15" s="14"/>
      <c r="P15" s="16"/>
      <c r="S15" s="380"/>
      <c r="T15" s="373"/>
    </row>
    <row r="16" spans="1:20" ht="10.5" customHeight="1">
      <c r="A16" s="499"/>
      <c r="B16" s="375"/>
      <c r="C16" s="375"/>
      <c r="D16" s="375"/>
      <c r="E16" s="507" t="str">
        <f t="shared" si="0"/>
        <v> </v>
      </c>
      <c r="F16" s="502"/>
      <c r="G16" s="375"/>
      <c r="H16" s="672"/>
      <c r="I16" s="672"/>
      <c r="J16" s="673"/>
      <c r="K16" s="17"/>
      <c r="L16" s="565"/>
      <c r="M16" s="564"/>
      <c r="N16" s="551"/>
      <c r="O16" s="547"/>
      <c r="P16" s="566"/>
      <c r="S16" s="380"/>
      <c r="T16" s="373"/>
    </row>
    <row r="17" spans="1:20" ht="10.5" customHeight="1">
      <c r="A17" s="499"/>
      <c r="B17" s="375"/>
      <c r="C17" s="375"/>
      <c r="D17" s="375"/>
      <c r="E17" s="503"/>
      <c r="F17" s="375"/>
      <c r="G17" s="375"/>
      <c r="H17" s="672"/>
      <c r="I17" s="672"/>
      <c r="J17" s="673"/>
      <c r="K17" s="615" t="s">
        <v>544</v>
      </c>
      <c r="L17" s="535"/>
      <c r="M17" s="241" t="s">
        <v>2</v>
      </c>
      <c r="N17" s="549" t="s">
        <v>3</v>
      </c>
      <c r="O17" s="398"/>
      <c r="P17" s="538"/>
      <c r="Q17" s="398"/>
      <c r="R17" s="168"/>
      <c r="S17" s="539"/>
      <c r="T17" s="373"/>
    </row>
    <row r="18" spans="1:20" ht="6.75" customHeight="1">
      <c r="A18" s="402"/>
      <c r="B18" s="18"/>
      <c r="C18" s="18"/>
      <c r="D18" s="18"/>
      <c r="E18" s="403"/>
      <c r="F18" s="18"/>
      <c r="G18" s="18"/>
      <c r="H18" s="405"/>
      <c r="I18" s="405"/>
      <c r="J18" s="406"/>
      <c r="K18" s="612"/>
      <c r="L18" s="11"/>
      <c r="M18" s="320"/>
      <c r="N18" s="550"/>
      <c r="O18" s="168"/>
      <c r="P18" s="540"/>
      <c r="Q18" s="168"/>
      <c r="R18" s="168"/>
      <c r="S18" s="539"/>
      <c r="T18" s="373"/>
    </row>
    <row r="19" spans="1:21" ht="24" customHeight="1" hidden="1">
      <c r="A19" s="675" t="s">
        <v>650</v>
      </c>
      <c r="B19" s="676"/>
      <c r="C19" s="676"/>
      <c r="D19" s="676"/>
      <c r="E19" s="676"/>
      <c r="F19" s="676"/>
      <c r="G19" s="676"/>
      <c r="H19" s="676"/>
      <c r="I19" s="676"/>
      <c r="J19" s="397"/>
      <c r="K19" s="614" t="str">
        <f>IF(COUNTIF(C21:C23,"да"),"да","нет")</f>
        <v>нет</v>
      </c>
      <c r="L19" s="543" t="s">
        <v>471</v>
      </c>
      <c r="M19" s="544">
        <v>210</v>
      </c>
      <c r="N19" s="543">
        <v>450</v>
      </c>
      <c r="O19" s="545" t="s">
        <v>528</v>
      </c>
      <c r="P19" s="546">
        <v>1</v>
      </c>
      <c r="Q19" s="548" t="s">
        <v>522</v>
      </c>
      <c r="R19" s="168"/>
      <c r="S19" s="539"/>
      <c r="T19" s="373"/>
      <c r="U19" s="530" t="s">
        <v>514</v>
      </c>
    </row>
    <row r="20" spans="1:21" ht="21.75" customHeight="1" hidden="1">
      <c r="A20" s="393" t="s">
        <v>457</v>
      </c>
      <c r="B20" s="21"/>
      <c r="C20" s="21"/>
      <c r="D20" s="21"/>
      <c r="E20" s="21"/>
      <c r="F20" s="21"/>
      <c r="G20" s="22"/>
      <c r="H20" s="12"/>
      <c r="I20" s="12"/>
      <c r="J20" s="20"/>
      <c r="K20" s="613" t="str">
        <f>IF(K19="да",L20,L19)</f>
        <v> без учета мониторингов системы образования</v>
      </c>
      <c r="L20" s="552" t="s">
        <v>472</v>
      </c>
      <c r="M20" s="553">
        <v>270</v>
      </c>
      <c r="N20" s="552">
        <v>510</v>
      </c>
      <c r="O20" s="554" t="s">
        <v>527</v>
      </c>
      <c r="P20" s="555">
        <v>1</v>
      </c>
      <c r="Q20" s="627" t="s">
        <v>638</v>
      </c>
      <c r="R20" s="168"/>
      <c r="S20" s="539"/>
      <c r="T20" s="373"/>
      <c r="U20" s="529" t="s">
        <v>25</v>
      </c>
    </row>
    <row r="21" spans="1:21" ht="15" hidden="1">
      <c r="A21" s="19"/>
      <c r="B21" s="394" t="s">
        <v>455</v>
      </c>
      <c r="C21" s="504" t="s">
        <v>25</v>
      </c>
      <c r="D21" s="12"/>
      <c r="E21" s="12"/>
      <c r="F21" s="12"/>
      <c r="G21" s="12"/>
      <c r="H21" s="12"/>
      <c r="I21" s="12"/>
      <c r="J21" s="20"/>
      <c r="K21" s="537"/>
      <c r="L21" s="556" t="s">
        <v>517</v>
      </c>
      <c r="M21" s="557">
        <v>210</v>
      </c>
      <c r="N21" s="558">
        <v>400</v>
      </c>
      <c r="O21" s="559" t="s">
        <v>518</v>
      </c>
      <c r="P21" s="560">
        <v>2</v>
      </c>
      <c r="Q21" s="561" t="s">
        <v>521</v>
      </c>
      <c r="R21" s="168"/>
      <c r="S21" s="539"/>
      <c r="T21" s="373"/>
      <c r="U21" s="529" t="s">
        <v>542</v>
      </c>
    </row>
    <row r="22" spans="1:21" ht="15" hidden="1">
      <c r="A22" s="19"/>
      <c r="B22" s="395" t="s">
        <v>456</v>
      </c>
      <c r="C22" s="504" t="s">
        <v>25</v>
      </c>
      <c r="D22" s="12"/>
      <c r="E22" s="12"/>
      <c r="F22" s="12"/>
      <c r="G22" s="12"/>
      <c r="H22" s="12"/>
      <c r="I22" s="12"/>
      <c r="J22" s="20"/>
      <c r="K22" s="537"/>
      <c r="L22" s="556" t="s">
        <v>519</v>
      </c>
      <c r="M22" s="557">
        <v>230</v>
      </c>
      <c r="N22" s="558">
        <v>420</v>
      </c>
      <c r="O22" s="559" t="s">
        <v>473</v>
      </c>
      <c r="P22" s="560">
        <v>3</v>
      </c>
      <c r="Q22" s="561" t="s">
        <v>520</v>
      </c>
      <c r="R22" s="168"/>
      <c r="S22" s="539"/>
      <c r="T22" s="373"/>
      <c r="U22" s="529" t="s">
        <v>515</v>
      </c>
    </row>
    <row r="23" spans="1:21" ht="15" hidden="1">
      <c r="A23" s="19"/>
      <c r="B23" s="395" t="s">
        <v>344</v>
      </c>
      <c r="C23" s="504" t="s">
        <v>25</v>
      </c>
      <c r="D23" s="12"/>
      <c r="E23" s="738" t="s">
        <v>542</v>
      </c>
      <c r="F23" s="738"/>
      <c r="G23" s="738"/>
      <c r="H23" s="738"/>
      <c r="I23" s="738"/>
      <c r="J23" s="739"/>
      <c r="K23" s="537"/>
      <c r="L23" s="63" t="str">
        <f>K172</f>
        <v>инструктор по труду</v>
      </c>
      <c r="M23" s="63">
        <f>ЭЗ!AG35</f>
        <v>230</v>
      </c>
      <c r="N23" s="652">
        <f>ЭЗ!AH35</f>
        <v>390</v>
      </c>
      <c r="O23" s="652" t="str">
        <f>ЭЗ!AI35</f>
        <v> - </v>
      </c>
      <c r="P23" s="652">
        <f>ЭЗ!AJ35</f>
        <v>10</v>
      </c>
      <c r="Q23" s="652" t="str">
        <f>ЭЗ!AE35</f>
        <v>инструктора по труду</v>
      </c>
      <c r="R23" s="168"/>
      <c r="S23" s="539"/>
      <c r="T23" s="373"/>
      <c r="U23" s="529" t="s">
        <v>515</v>
      </c>
    </row>
    <row r="24" spans="1:20" ht="15" customHeight="1" hidden="1">
      <c r="A24" s="19"/>
      <c r="B24" s="12"/>
      <c r="C24" s="51"/>
      <c r="D24" s="12"/>
      <c r="F24" s="12"/>
      <c r="G24" s="12"/>
      <c r="H24" s="533">
        <f>IF(C23="да","укажите наименование др.мониторингов","")</f>
      </c>
      <c r="I24" s="12"/>
      <c r="J24" s="20"/>
      <c r="K24" s="541"/>
      <c r="L24" s="570" t="s">
        <v>133</v>
      </c>
      <c r="M24" s="571">
        <v>260</v>
      </c>
      <c r="N24" s="572">
        <v>490</v>
      </c>
      <c r="O24" s="573" t="s">
        <v>530</v>
      </c>
      <c r="P24" s="574">
        <v>6</v>
      </c>
      <c r="Q24" s="563"/>
      <c r="R24" s="168"/>
      <c r="S24" s="539"/>
      <c r="T24" s="373"/>
    </row>
    <row r="25" spans="1:20" ht="15" hidden="1">
      <c r="A25" s="512" t="s">
        <v>509</v>
      </c>
      <c r="B25" s="752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2"/>
      <c r="D25" s="752"/>
      <c r="E25" s="752"/>
      <c r="F25" s="752"/>
      <c r="G25" s="752"/>
      <c r="H25" s="752"/>
      <c r="I25" s="752"/>
      <c r="K25" s="541"/>
      <c r="L25" s="576" t="s">
        <v>138</v>
      </c>
      <c r="M25" s="557">
        <v>200</v>
      </c>
      <c r="N25" s="558">
        <v>390</v>
      </c>
      <c r="O25" s="562" t="s">
        <v>526</v>
      </c>
      <c r="P25" s="560">
        <v>4</v>
      </c>
      <c r="Q25" s="575" t="s">
        <v>139</v>
      </c>
      <c r="R25" s="168"/>
      <c r="S25" s="539"/>
      <c r="T25" s="373"/>
    </row>
    <row r="26" spans="10:20" ht="12.75" hidden="1">
      <c r="J26" s="511"/>
      <c r="K26" s="541"/>
      <c r="R26" s="168"/>
      <c r="S26" s="539"/>
      <c r="T26" s="373"/>
    </row>
    <row r="27" spans="1:20" ht="15" hidden="1">
      <c r="A27" s="532" t="s">
        <v>7</v>
      </c>
      <c r="B27" s="740" t="str">
        <f>IF(T2="# 1",K20,долж_ОС)</f>
        <v>инструктор по труду</v>
      </c>
      <c r="C27" s="740"/>
      <c r="D27" s="740"/>
      <c r="E27" s="740"/>
      <c r="F27" s="740"/>
      <c r="G27" s="534" t="s">
        <v>516</v>
      </c>
      <c r="H27" s="531"/>
      <c r="I27" s="531"/>
      <c r="J27" s="536" t="s">
        <v>523</v>
      </c>
      <c r="K27" s="541"/>
      <c r="L27" s="570" t="s">
        <v>162</v>
      </c>
      <c r="M27" s="571">
        <v>260</v>
      </c>
      <c r="N27" s="572">
        <v>490</v>
      </c>
      <c r="O27" s="573" t="s">
        <v>526</v>
      </c>
      <c r="P27" s="574">
        <v>6</v>
      </c>
      <c r="Q27" s="575" t="s">
        <v>531</v>
      </c>
      <c r="R27" s="168"/>
      <c r="S27" s="539"/>
      <c r="T27" s="373"/>
    </row>
    <row r="28" spans="1:20" ht="15.75" hidden="1" thickBot="1">
      <c r="A28" s="476"/>
      <c r="B28" s="396"/>
      <c r="C28" s="396"/>
      <c r="D28" s="396"/>
      <c r="E28" s="396"/>
      <c r="F28" s="396"/>
      <c r="G28" s="396"/>
      <c r="H28" s="396"/>
      <c r="I28" s="396"/>
      <c r="J28" s="20"/>
      <c r="K28" s="541"/>
      <c r="L28" s="588" t="s">
        <v>533</v>
      </c>
      <c r="M28" s="589">
        <v>280</v>
      </c>
      <c r="N28" s="590">
        <v>540</v>
      </c>
      <c r="O28" s="591" t="s">
        <v>529</v>
      </c>
      <c r="P28" s="592">
        <v>7</v>
      </c>
      <c r="Q28" s="593"/>
      <c r="R28" s="168"/>
      <c r="S28" s="539"/>
      <c r="T28" s="373"/>
    </row>
    <row r="29" spans="1:20" ht="20.25" customHeight="1">
      <c r="A29" s="675" t="s">
        <v>8</v>
      </c>
      <c r="B29" s="676"/>
      <c r="C29" s="676"/>
      <c r="D29" s="676"/>
      <c r="E29" s="676"/>
      <c r="F29" s="676"/>
      <c r="G29" s="676"/>
      <c r="H29" s="676"/>
      <c r="I29" s="676"/>
      <c r="J29" s="381"/>
      <c r="K29" s="68"/>
      <c r="L29" s="603" t="s">
        <v>535</v>
      </c>
      <c r="M29" s="594"/>
      <c r="N29" s="595"/>
      <c r="O29" s="596"/>
      <c r="P29" s="597"/>
      <c r="Q29" s="598"/>
      <c r="R29" s="168"/>
      <c r="S29" s="539"/>
      <c r="T29" s="373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4" t="s">
        <v>543</v>
      </c>
      <c r="M30" s="599"/>
      <c r="N30" s="600"/>
      <c r="O30" s="601"/>
      <c r="P30" s="602"/>
      <c r="Q30" s="569"/>
      <c r="R30" s="168"/>
      <c r="S30" s="539"/>
      <c r="T30" s="373"/>
    </row>
    <row r="31" spans="1:20" ht="15">
      <c r="A31" s="679" t="s">
        <v>9</v>
      </c>
      <c r="B31" s="742"/>
      <c r="C31" s="691"/>
      <c r="D31" s="691"/>
      <c r="E31" s="691"/>
      <c r="F31" s="691"/>
      <c r="G31" s="691"/>
      <c r="H31" s="691"/>
      <c r="I31" s="691"/>
      <c r="J31" s="20"/>
      <c r="K31" s="18"/>
      <c r="L31" s="567">
        <f>CLEAN(TRIM(C31))</f>
      </c>
      <c r="M31" s="5"/>
      <c r="N31" s="5"/>
      <c r="Q31" s="168"/>
      <c r="R31" s="168"/>
      <c r="S31" s="539"/>
      <c r="T31" s="373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39"/>
      <c r="T32" s="373"/>
    </row>
    <row r="33" spans="1:20" ht="15">
      <c r="A33" s="679" t="s">
        <v>10</v>
      </c>
      <c r="B33" s="680"/>
      <c r="C33" s="754" t="s">
        <v>362</v>
      </c>
      <c r="D33" s="754"/>
      <c r="E33" s="754"/>
      <c r="F33" s="12"/>
      <c r="G33" s="730"/>
      <c r="H33" s="730"/>
      <c r="I33" s="730"/>
      <c r="J33" s="20"/>
      <c r="L33" s="567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39"/>
      <c r="T33" s="373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39"/>
      <c r="T34" s="373"/>
    </row>
    <row r="35" spans="1:20" ht="15">
      <c r="A35" s="28" t="s">
        <v>11</v>
      </c>
      <c r="B35" s="730"/>
      <c r="C35" s="730"/>
      <c r="D35" s="730"/>
      <c r="E35" s="730"/>
      <c r="F35" s="730"/>
      <c r="G35" s="730"/>
      <c r="H35" s="730"/>
      <c r="I35" s="730"/>
      <c r="J35" s="20"/>
      <c r="K35" s="27">
        <f>LEN(B35)</f>
        <v>0</v>
      </c>
      <c r="L35" s="568">
        <f>TRIM(B35)</f>
      </c>
      <c r="O35" s="31"/>
      <c r="Q35" s="168"/>
      <c r="R35" s="168"/>
      <c r="S35" s="539"/>
      <c r="T35" s="373"/>
    </row>
    <row r="36" spans="1:20" ht="15">
      <c r="A36" s="28"/>
      <c r="B36" s="741"/>
      <c r="C36" s="741"/>
      <c r="D36" s="741"/>
      <c r="E36" s="741"/>
      <c r="F36" s="741"/>
      <c r="G36" s="741"/>
      <c r="H36" s="741"/>
      <c r="I36" s="741"/>
      <c r="J36" s="20"/>
      <c r="K36" s="27">
        <f>LEN(B36)</f>
        <v>0</v>
      </c>
      <c r="L36" s="568">
        <f>TRIM(B36)</f>
      </c>
      <c r="P36" s="7"/>
      <c r="S36" s="380"/>
      <c r="T36" s="373"/>
    </row>
    <row r="37" spans="1:20" ht="15" customHeight="1">
      <c r="A37" s="28"/>
      <c r="B37" s="741"/>
      <c r="C37" s="741"/>
      <c r="D37" s="741"/>
      <c r="E37" s="741"/>
      <c r="F37" s="741"/>
      <c r="G37" s="741"/>
      <c r="H37" s="741"/>
      <c r="I37" s="741"/>
      <c r="J37" s="20"/>
      <c r="K37" s="27">
        <f>LEN(B37)</f>
        <v>0</v>
      </c>
      <c r="L37" s="568">
        <f>TRIM(B37)</f>
      </c>
      <c r="N37" s="4" t="s">
        <v>647</v>
      </c>
      <c r="O37" s="31"/>
      <c r="P37" s="7"/>
      <c r="S37" s="380"/>
      <c r="T37" s="373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0"/>
      <c r="T38" s="373"/>
    </row>
    <row r="39" spans="1:20" ht="15">
      <c r="A39" s="28" t="s">
        <v>12</v>
      </c>
      <c r="B39" s="751" t="s">
        <v>125</v>
      </c>
      <c r="C39" s="751"/>
      <c r="D39" s="751"/>
      <c r="E39" s="751"/>
      <c r="F39" s="751"/>
      <c r="G39" s="751"/>
      <c r="H39" s="751"/>
      <c r="I39" s="749"/>
      <c r="J39" s="750"/>
      <c r="K39" s="18"/>
      <c r="L39" s="373" t="str">
        <f>LOWER(TRIM(B39))</f>
        <v>инструктор по труду</v>
      </c>
      <c r="M39" s="27">
        <f>LEN(L40)</f>
        <v>0</v>
      </c>
      <c r="N39" s="628" t="s">
        <v>147</v>
      </c>
      <c r="O39" s="31"/>
      <c r="P39" s="7"/>
      <c r="S39" s="380"/>
      <c r="T39" s="373"/>
    </row>
    <row r="40" spans="1:20" ht="15">
      <c r="A40" s="28" t="str">
        <f>K40</f>
        <v>.</v>
      </c>
      <c r="B40" s="753"/>
      <c r="C40" s="753"/>
      <c r="D40" s="753"/>
      <c r="E40" s="753"/>
      <c r="F40" s="753"/>
      <c r="G40" s="753"/>
      <c r="H40" s="753"/>
      <c r="I40" s="733"/>
      <c r="J40" s="734"/>
      <c r="K40" s="66" t="str">
        <f>ЭЗ!AC35</f>
        <v>.</v>
      </c>
      <c r="L40" s="568">
        <f>TRIM(B40)</f>
      </c>
      <c r="M40" s="27">
        <f>IF(B39="",0,1)</f>
        <v>1</v>
      </c>
      <c r="O40" s="31"/>
      <c r="P40" s="7"/>
      <c r="S40" s="380"/>
      <c r="T40" s="373"/>
    </row>
    <row r="41" spans="1:20" ht="18.75" customHeight="1">
      <c r="A41" s="19"/>
      <c r="B41" s="735"/>
      <c r="C41" s="735"/>
      <c r="D41" s="735"/>
      <c r="E41" s="735"/>
      <c r="F41" s="735"/>
      <c r="G41" s="735"/>
      <c r="H41" s="735"/>
      <c r="I41" s="12"/>
      <c r="J41" s="20"/>
      <c r="K41" s="18"/>
      <c r="L41" s="5"/>
      <c r="S41" s="380"/>
      <c r="T41" s="373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0"/>
      <c r="T42" s="373"/>
    </row>
    <row r="43" spans="1:20" ht="0.75" customHeight="1">
      <c r="A43" s="33"/>
      <c r="B43" s="34"/>
      <c r="C43" s="755"/>
      <c r="D43" s="755"/>
      <c r="E43" s="755"/>
      <c r="F43" s="755"/>
      <c r="G43" s="755"/>
      <c r="H43" s="755"/>
      <c r="I43" s="755"/>
      <c r="J43" s="20"/>
      <c r="K43" s="18"/>
      <c r="L43" s="32"/>
      <c r="S43" s="380"/>
      <c r="T43" s="373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0"/>
      <c r="T44" s="373"/>
    </row>
    <row r="45" spans="1:20" ht="15">
      <c r="A45" s="731" t="s">
        <v>14</v>
      </c>
      <c r="B45" s="732"/>
      <c r="C45" s="732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0"/>
      <c r="T45" s="373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0"/>
      <c r="T46" s="373"/>
    </row>
    <row r="47" spans="1:20" ht="15">
      <c r="A47" s="731" t="s">
        <v>15</v>
      </c>
      <c r="B47" s="732"/>
      <c r="C47" s="732"/>
      <c r="D47" s="213" t="s">
        <v>25</v>
      </c>
      <c r="E47" s="477">
        <f>IF(AND(катег_ОС="нет",датаПрисв&lt;&gt;0),"Внимание!_НЕТ_","")</f>
      </c>
      <c r="F47" s="478">
        <f>IF(катег_ОС="нет","","дата присвоения")</f>
      </c>
      <c r="G47" s="141"/>
      <c r="H47" s="141"/>
      <c r="I47" s="386"/>
      <c r="J47" s="20"/>
      <c r="K47" s="473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80"/>
      <c r="T47" s="373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4"/>
      <c r="L48" s="52"/>
      <c r="M48" s="215" t="s">
        <v>272</v>
      </c>
      <c r="N48" s="215" t="s">
        <v>273</v>
      </c>
      <c r="S48" s="380"/>
      <c r="T48" s="373"/>
    </row>
    <row r="49" spans="1:20" ht="15">
      <c r="A49" s="48" t="s">
        <v>18</v>
      </c>
      <c r="B49" s="49"/>
      <c r="C49" s="49"/>
      <c r="D49" s="212" t="s">
        <v>2</v>
      </c>
      <c r="E49" s="387">
        <f>IF(F49="","","примеч.")</f>
      </c>
      <c r="F49" s="756"/>
      <c r="G49" s="756"/>
      <c r="H49" s="756"/>
      <c r="I49" s="388"/>
      <c r="J49" s="389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0"/>
      <c r="T49" s="373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0"/>
      <c r="T50" s="373"/>
    </row>
    <row r="51" spans="1:57" ht="15">
      <c r="A51" s="58" t="s">
        <v>19</v>
      </c>
      <c r="B51" s="751" t="s">
        <v>20</v>
      </c>
      <c r="C51" s="751"/>
      <c r="D51" s="751"/>
      <c r="E51" s="751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0"/>
      <c r="T51" s="373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0"/>
      <c r="T52" s="37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0"/>
      <c r="T53" s="373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1" t="str">
        <f>B51</f>
        <v>высшее</v>
      </c>
      <c r="B54" s="713"/>
      <c r="C54" s="713"/>
      <c r="D54" s="713"/>
      <c r="E54" s="713"/>
      <c r="F54" s="713"/>
      <c r="G54" s="713"/>
      <c r="H54" s="713"/>
      <c r="I54" s="713"/>
      <c r="J54" s="714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0"/>
      <c r="T54" s="373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2"/>
      <c r="B55" s="713"/>
      <c r="C55" s="713"/>
      <c r="D55" s="713"/>
      <c r="E55" s="713"/>
      <c r="F55" s="713"/>
      <c r="G55" s="713"/>
      <c r="H55" s="713"/>
      <c r="I55" s="713"/>
      <c r="J55" s="714"/>
      <c r="K55" s="5"/>
      <c r="L55" s="61"/>
      <c r="M55" s="61"/>
      <c r="N55" s="61"/>
      <c r="O55" s="61"/>
      <c r="P55" s="61"/>
      <c r="Q55" s="61"/>
      <c r="R55" s="61"/>
      <c r="S55" s="380"/>
      <c r="T55" s="373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5" t="s">
        <v>24</v>
      </c>
      <c r="C56" s="715"/>
      <c r="D56" s="715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0"/>
      <c r="T56" s="37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0"/>
      <c r="T57" s="373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6"/>
      <c r="B58" s="713"/>
      <c r="C58" s="713"/>
      <c r="D58" s="713"/>
      <c r="E58" s="713"/>
      <c r="F58" s="713"/>
      <c r="G58" s="713"/>
      <c r="H58" s="713"/>
      <c r="I58" s="713"/>
      <c r="J58" s="714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0"/>
      <c r="T58" s="37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17"/>
      <c r="B59" s="713"/>
      <c r="C59" s="713"/>
      <c r="D59" s="713"/>
      <c r="E59" s="713"/>
      <c r="F59" s="713"/>
      <c r="G59" s="713"/>
      <c r="H59" s="713"/>
      <c r="I59" s="713"/>
      <c r="J59" s="714"/>
      <c r="K59" s="67"/>
      <c r="L59" s="67"/>
      <c r="M59" s="67"/>
      <c r="N59" s="67"/>
      <c r="O59" s="67"/>
      <c r="P59" s="67"/>
      <c r="Q59" s="67"/>
      <c r="R59" s="67"/>
      <c r="S59" s="380"/>
      <c r="T59" s="373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5" t="s">
        <v>24</v>
      </c>
      <c r="C60" s="715"/>
      <c r="D60" s="715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0"/>
      <c r="T60" s="373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0"/>
      <c r="T61" s="373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6"/>
      <c r="B62" s="713"/>
      <c r="C62" s="713"/>
      <c r="D62" s="713"/>
      <c r="E62" s="713"/>
      <c r="F62" s="713"/>
      <c r="G62" s="713"/>
      <c r="H62" s="713"/>
      <c r="I62" s="713"/>
      <c r="J62" s="714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0"/>
      <c r="T62" s="373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17"/>
      <c r="B63" s="713"/>
      <c r="C63" s="713"/>
      <c r="D63" s="713"/>
      <c r="E63" s="713"/>
      <c r="F63" s="713"/>
      <c r="G63" s="713"/>
      <c r="H63" s="713"/>
      <c r="I63" s="713"/>
      <c r="J63" s="714"/>
      <c r="K63" s="5"/>
      <c r="L63" s="61"/>
      <c r="M63" s="61"/>
      <c r="N63" s="61"/>
      <c r="O63" s="61"/>
      <c r="P63" s="61"/>
      <c r="Q63" s="61"/>
      <c r="R63" s="61"/>
      <c r="S63" s="380"/>
      <c r="T63" s="373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5" t="s">
        <v>24</v>
      </c>
      <c r="C64" s="715"/>
      <c r="D64" s="715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0"/>
      <c r="T64" s="373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0"/>
      <c r="T65" s="373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0"/>
      <c r="T66" s="373"/>
    </row>
    <row r="67" spans="1:20" ht="33" customHeight="1">
      <c r="A67" s="757" t="s">
        <v>397</v>
      </c>
      <c r="B67" s="765"/>
      <c r="C67" s="765"/>
      <c r="D67" s="765"/>
      <c r="E67" s="765"/>
      <c r="F67" s="765"/>
      <c r="G67" s="765"/>
      <c r="H67" s="765"/>
      <c r="I67" s="765"/>
      <c r="J67" s="24"/>
      <c r="L67" s="325"/>
      <c r="M67" s="69"/>
      <c r="N67" s="69"/>
      <c r="O67" s="69"/>
      <c r="P67" s="69"/>
      <c r="Q67" s="69"/>
      <c r="R67" s="69"/>
      <c r="S67" s="380"/>
      <c r="T67" s="373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0"/>
      <c r="T68" s="373"/>
    </row>
    <row r="69" spans="1:57" ht="16.5" customHeight="1">
      <c r="A69" s="411" t="s">
        <v>663</v>
      </c>
      <c r="B69" s="12"/>
      <c r="C69" s="12"/>
      <c r="D69" s="72"/>
      <c r="E69" s="73"/>
      <c r="F69" s="74"/>
      <c r="G69" s="74"/>
      <c r="H69" s="74"/>
      <c r="I69" s="12"/>
      <c r="J69" s="20"/>
      <c r="K69" s="620" t="s">
        <v>570</v>
      </c>
      <c r="L69" s="411" t="s">
        <v>569</v>
      </c>
      <c r="M69" s="67"/>
      <c r="N69" s="67"/>
      <c r="O69" s="67"/>
      <c r="P69" s="67"/>
      <c r="Q69" s="67"/>
      <c r="R69" s="67"/>
      <c r="S69" s="380"/>
      <c r="T69" s="373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1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0"/>
      <c r="T70" s="373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60" t="s">
        <v>25</v>
      </c>
      <c r="B71" s="761"/>
      <c r="C71" s="761"/>
      <c r="D71" s="75"/>
      <c r="E71" s="353" t="s">
        <v>24</v>
      </c>
      <c r="F71" s="12"/>
      <c r="G71" s="76"/>
      <c r="H71" s="41">
        <f>IF(A71="нет","",IF(L71=1,"курс","г."))</f>
      </c>
      <c r="I71" s="12"/>
      <c r="J71" s="479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0"/>
      <c r="T71" s="37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79"/>
      <c r="K72" s="5"/>
      <c r="N72" s="5"/>
      <c r="S72" s="380"/>
      <c r="T72" s="373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3"/>
      <c r="C73" s="713"/>
      <c r="D73" s="713"/>
      <c r="E73" s="713"/>
      <c r="F73" s="713"/>
      <c r="G73" s="713"/>
      <c r="H73" s="713"/>
      <c r="I73" s="713"/>
      <c r="J73" s="714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0"/>
      <c r="T73" s="373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3"/>
      <c r="C74" s="713"/>
      <c r="D74" s="713"/>
      <c r="E74" s="713"/>
      <c r="F74" s="713"/>
      <c r="G74" s="713"/>
      <c r="H74" s="713"/>
      <c r="I74" s="713"/>
      <c r="J74" s="714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0"/>
      <c r="T74" s="373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3"/>
      <c r="C75" s="713"/>
      <c r="D75" s="713"/>
      <c r="E75" s="713"/>
      <c r="F75" s="713"/>
      <c r="G75" s="713"/>
      <c r="H75" s="713"/>
      <c r="I75" s="713"/>
      <c r="J75" s="714"/>
      <c r="K75" s="83"/>
      <c r="L75" s="53" t="s">
        <v>29</v>
      </c>
      <c r="N75" s="81" t="s">
        <v>25</v>
      </c>
      <c r="O75" s="69"/>
      <c r="P75" s="69"/>
      <c r="R75" s="69"/>
      <c r="S75" s="380"/>
      <c r="T75" s="373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06" t="s">
        <v>30</v>
      </c>
      <c r="M76" s="27"/>
      <c r="N76" s="81" t="s">
        <v>32</v>
      </c>
      <c r="O76" s="69"/>
      <c r="P76" s="69"/>
      <c r="R76" s="69"/>
      <c r="S76" s="380"/>
      <c r="T76" s="373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0"/>
      <c r="T77" s="373"/>
    </row>
    <row r="78" spans="1:20" ht="15">
      <c r="A78" s="720" t="s">
        <v>27</v>
      </c>
      <c r="B78" s="721"/>
      <c r="C78" s="721"/>
      <c r="D78" s="721"/>
      <c r="E78" s="721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0"/>
      <c r="T78" s="373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0"/>
      <c r="S79" s="380"/>
      <c r="T79" s="373"/>
    </row>
    <row r="80" spans="1:20" ht="15">
      <c r="A80" s="28" t="s">
        <v>35</v>
      </c>
      <c r="B80" s="29"/>
      <c r="C80" s="29"/>
      <c r="D80" s="29"/>
      <c r="E80" s="29"/>
      <c r="F80" s="12"/>
      <c r="G80" s="689" t="s">
        <v>25</v>
      </c>
      <c r="H80" s="689"/>
      <c r="I80" s="29"/>
      <c r="J80" s="480"/>
      <c r="S80" s="380"/>
      <c r="T80" s="373"/>
    </row>
    <row r="81" spans="1:20" ht="15" customHeight="1">
      <c r="A81" s="706" t="s">
        <v>676</v>
      </c>
      <c r="B81" s="707"/>
      <c r="C81" s="707"/>
      <c r="D81" s="707"/>
      <c r="E81" s="707"/>
      <c r="F81" s="707"/>
      <c r="G81" s="689" t="s">
        <v>25</v>
      </c>
      <c r="H81" s="689"/>
      <c r="I81" s="29"/>
      <c r="J81" s="480"/>
      <c r="S81" s="380"/>
      <c r="T81" s="373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0"/>
      <c r="S82" s="380"/>
      <c r="T82" s="373"/>
    </row>
    <row r="83" spans="1:20" ht="15">
      <c r="A83" s="28" t="s">
        <v>36</v>
      </c>
      <c r="B83" s="29"/>
      <c r="C83" s="29"/>
      <c r="D83" s="29"/>
      <c r="E83" s="29"/>
      <c r="F83" s="12"/>
      <c r="G83" s="689" t="s">
        <v>25</v>
      </c>
      <c r="H83" s="689"/>
      <c r="I83" s="97"/>
      <c r="J83" s="98"/>
      <c r="M83" s="27"/>
      <c r="N83" s="3"/>
      <c r="O83" s="69"/>
      <c r="P83" s="69"/>
      <c r="Q83" s="69"/>
      <c r="R83" s="69"/>
      <c r="S83" s="380"/>
      <c r="T83" s="373"/>
    </row>
    <row r="84" spans="1:20" ht="15">
      <c r="A84" s="28" t="s">
        <v>37</v>
      </c>
      <c r="B84" s="29"/>
      <c r="C84" s="29"/>
      <c r="D84" s="29"/>
      <c r="E84" s="29"/>
      <c r="F84" s="12"/>
      <c r="G84" s="689" t="s">
        <v>25</v>
      </c>
      <c r="H84" s="689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80"/>
      <c r="T84" s="373"/>
    </row>
    <row r="85" spans="1:20" ht="15" hidden="1">
      <c r="A85" s="412"/>
      <c r="B85" s="481" t="s">
        <v>467</v>
      </c>
      <c r="C85" s="12"/>
      <c r="D85" s="482" t="s">
        <v>468</v>
      </c>
      <c r="E85" s="29"/>
      <c r="F85" s="29"/>
      <c r="G85" s="413" t="str">
        <f>ЭЗ!Y62</f>
        <v>нет</v>
      </c>
      <c r="H85" s="29"/>
      <c r="I85" s="483" t="s">
        <v>474</v>
      </c>
      <c r="J85" s="415"/>
      <c r="M85" s="27"/>
      <c r="N85" s="100"/>
      <c r="O85" s="69"/>
      <c r="P85" s="69"/>
      <c r="Q85" s="69"/>
      <c r="R85" s="69"/>
      <c r="S85" s="380"/>
      <c r="T85" s="373"/>
    </row>
    <row r="86" spans="1:20" ht="15" hidden="1">
      <c r="A86" s="412"/>
      <c r="B86" s="12"/>
      <c r="C86" s="12"/>
      <c r="D86" s="484" t="s">
        <v>469</v>
      </c>
      <c r="E86" s="51"/>
      <c r="F86" s="50"/>
      <c r="G86" s="413" t="str">
        <f>IF(AND(A71&lt;&gt;"нет",K73&lt;&gt;0),"да","нет")</f>
        <v>нет</v>
      </c>
      <c r="H86" s="12"/>
      <c r="I86" s="485" t="s">
        <v>475</v>
      </c>
      <c r="J86" s="415"/>
      <c r="M86" s="27"/>
      <c r="N86" s="100"/>
      <c r="O86" s="69"/>
      <c r="P86" s="69"/>
      <c r="Q86" s="69"/>
      <c r="R86" s="69"/>
      <c r="S86" s="380"/>
      <c r="T86" s="373"/>
    </row>
    <row r="87" spans="1:20" ht="25.5" hidden="1">
      <c r="A87" s="486"/>
      <c r="B87" s="12"/>
      <c r="C87" s="12"/>
      <c r="D87" s="487" t="s">
        <v>470</v>
      </c>
      <c r="E87" s="450"/>
      <c r="F87" s="72"/>
      <c r="G87" s="414" t="str">
        <f>IF(ЭЗ!Y431&gt;0,"да","нет")</f>
        <v>нет</v>
      </c>
      <c r="H87" s="382"/>
      <c r="I87" s="488" t="s">
        <v>447</v>
      </c>
      <c r="J87" s="416"/>
      <c r="K87" s="417" t="s">
        <v>476</v>
      </c>
      <c r="L87" s="418" t="s">
        <v>477</v>
      </c>
      <c r="M87" s="27"/>
      <c r="N87" s="11"/>
      <c r="O87" s="12"/>
      <c r="S87" s="380"/>
      <c r="T87" s="373"/>
    </row>
    <row r="88" spans="1:20" ht="18" hidden="1">
      <c r="A88" s="686" t="str">
        <f>IF(вывод1="да",_72ч,"")</f>
        <v>В течение одного года пройти обучение по программе повышения квалификации. 
</v>
      </c>
      <c r="B88" s="687"/>
      <c r="C88" s="687"/>
      <c r="D88" s="687"/>
      <c r="E88" s="687"/>
      <c r="F88" s="687"/>
      <c r="G88" s="687"/>
      <c r="H88" s="687"/>
      <c r="I88" s="687"/>
      <c r="J88" s="688"/>
      <c r="K88" s="475" t="str">
        <f>IF(COUNTIF(G78:H87,"да"),"нет","да")</f>
        <v>да</v>
      </c>
      <c r="L88" s="419" t="s">
        <v>478</v>
      </c>
      <c r="M88" s="27"/>
      <c r="N88" s="11"/>
      <c r="O88" s="12"/>
      <c r="S88" s="380"/>
      <c r="T88" s="373"/>
    </row>
    <row r="89" spans="1:20" ht="12.75" hidden="1">
      <c r="A89" s="686"/>
      <c r="B89" s="687"/>
      <c r="C89" s="687"/>
      <c r="D89" s="687"/>
      <c r="E89" s="687"/>
      <c r="F89" s="687"/>
      <c r="G89" s="687"/>
      <c r="H89" s="687"/>
      <c r="I89" s="687"/>
      <c r="J89" s="688"/>
      <c r="K89" s="103"/>
      <c r="M89" s="27"/>
      <c r="N89" s="11"/>
      <c r="O89" s="12"/>
      <c r="S89" s="380"/>
      <c r="T89" s="373"/>
    </row>
    <row r="90" spans="1:20" ht="6" customHeight="1">
      <c r="A90" s="489"/>
      <c r="B90" s="490"/>
      <c r="C90" s="490"/>
      <c r="D90" s="763"/>
      <c r="E90" s="763"/>
      <c r="F90" s="763"/>
      <c r="G90" s="763"/>
      <c r="H90" s="763"/>
      <c r="I90" s="763"/>
      <c r="J90" s="764"/>
      <c r="L90" s="5"/>
      <c r="M90" s="5"/>
      <c r="N90" s="104"/>
      <c r="O90" s="18"/>
      <c r="P90" s="57"/>
      <c r="Q90" s="57"/>
      <c r="R90" s="69"/>
      <c r="S90" s="380"/>
      <c r="T90" s="373"/>
    </row>
    <row r="91" spans="1:20" ht="20.25" customHeight="1">
      <c r="A91" s="718" t="s">
        <v>40</v>
      </c>
      <c r="B91" s="719"/>
      <c r="C91" s="719"/>
      <c r="D91" s="719"/>
      <c r="E91" s="719"/>
      <c r="F91" s="719"/>
      <c r="G91" s="719"/>
      <c r="H91" s="719"/>
      <c r="I91" s="719"/>
      <c r="J91" s="105"/>
      <c r="K91" s="106" t="s">
        <v>41</v>
      </c>
      <c r="M91" s="27"/>
      <c r="N91" s="104"/>
      <c r="O91" s="18"/>
      <c r="P91" s="57"/>
      <c r="Q91" s="57"/>
      <c r="R91" s="57"/>
      <c r="S91" s="380"/>
      <c r="T91" s="373"/>
    </row>
    <row r="92" spans="1:20" s="57" customFormat="1" ht="4.5" customHeight="1">
      <c r="A92" s="376"/>
      <c r="B92" s="377"/>
      <c r="C92" s="377"/>
      <c r="D92" s="377"/>
      <c r="E92" s="377"/>
      <c r="F92" s="377"/>
      <c r="G92" s="377"/>
      <c r="H92" s="377"/>
      <c r="I92" s="377"/>
      <c r="J92" s="378"/>
      <c r="K92" s="379"/>
      <c r="L92" s="114"/>
      <c r="M92" s="219"/>
      <c r="N92" s="104"/>
      <c r="O92" s="18"/>
      <c r="S92" s="380"/>
      <c r="T92" s="373"/>
    </row>
    <row r="93" spans="1:20" ht="3" customHeight="1">
      <c r="A93" s="706" t="str">
        <f>L172</f>
        <v>Наличие/получение высшего или среднего профессионального образования </v>
      </c>
      <c r="B93" s="707"/>
      <c r="C93" s="707"/>
      <c r="D93" s="707"/>
      <c r="E93" s="707"/>
      <c r="F93" s="707"/>
      <c r="G93" s="707"/>
      <c r="H93" s="707"/>
      <c r="I93" s="12"/>
      <c r="J93" s="20"/>
      <c r="K93" s="107"/>
      <c r="N93" s="11"/>
      <c r="O93" s="12"/>
      <c r="S93" s="380"/>
      <c r="T93" s="373"/>
    </row>
    <row r="94" spans="1:20" ht="15.75">
      <c r="A94" s="706"/>
      <c r="B94" s="707"/>
      <c r="C94" s="707"/>
      <c r="D94" s="707"/>
      <c r="E94" s="707"/>
      <c r="F94" s="707"/>
      <c r="G94" s="707"/>
      <c r="H94" s="707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80"/>
      <c r="T94" s="373"/>
    </row>
    <row r="95" spans="1:20" ht="21.75" customHeight="1" hidden="1">
      <c r="A95" s="706"/>
      <c r="B95" s="707"/>
      <c r="C95" s="707"/>
      <c r="D95" s="707"/>
      <c r="E95" s="707"/>
      <c r="F95" s="707"/>
      <c r="G95" s="707"/>
      <c r="H95" s="707"/>
      <c r="I95" s="109"/>
      <c r="J95" s="71"/>
      <c r="K95" s="103"/>
      <c r="L95" s="632" t="s">
        <v>642</v>
      </c>
      <c r="S95" s="380"/>
      <c r="T95" s="373"/>
    </row>
    <row r="96" spans="1:20" ht="15" customHeight="1" hidden="1">
      <c r="A96" s="706" t="str">
        <f>M172</f>
        <v> ---</v>
      </c>
      <c r="B96" s="707"/>
      <c r="C96" s="707"/>
      <c r="D96" s="707"/>
      <c r="E96" s="707"/>
      <c r="F96" s="707"/>
      <c r="G96" s="707"/>
      <c r="H96" s="707"/>
      <c r="I96" s="12"/>
      <c r="J96" s="20"/>
      <c r="K96" s="103"/>
      <c r="L96" s="446" t="s">
        <v>501</v>
      </c>
      <c r="M96" s="3" t="s">
        <v>491</v>
      </c>
      <c r="N96" s="111" t="str">
        <f>IF(долж_ОС="учитель","учитель","преподаватель")</f>
        <v>преподаватель</v>
      </c>
      <c r="S96" s="380"/>
      <c r="T96" s="373"/>
    </row>
    <row r="97" spans="1:20" ht="15" hidden="1">
      <c r="A97" s="706"/>
      <c r="B97" s="707"/>
      <c r="C97" s="707"/>
      <c r="D97" s="707"/>
      <c r="E97" s="707"/>
      <c r="F97" s="707"/>
      <c r="G97" s="707"/>
      <c r="H97" s="707"/>
      <c r="I97" s="23" t="s">
        <v>25</v>
      </c>
      <c r="J97" s="98"/>
      <c r="K97" s="102" t="s">
        <v>45</v>
      </c>
      <c r="L97" s="447" t="s">
        <v>500</v>
      </c>
      <c r="M97" s="3" t="s">
        <v>640</v>
      </c>
      <c r="N97" s="4" t="s">
        <v>641</v>
      </c>
      <c r="O97" s="5" t="s">
        <v>643</v>
      </c>
      <c r="S97" s="380"/>
      <c r="T97" s="373"/>
    </row>
    <row r="98" spans="1:20" ht="18" hidden="1">
      <c r="A98" s="491" t="s">
        <v>39</v>
      </c>
      <c r="B98" s="421" t="s">
        <v>479</v>
      </c>
      <c r="C98" s="316"/>
      <c r="D98" s="316"/>
      <c r="E98" s="12"/>
      <c r="F98" s="420" t="str">
        <f>HLOOKUP(G98,$L$97:$S$98,2)</f>
        <v>да</v>
      </c>
      <c r="G98" s="429" t="s">
        <v>500</v>
      </c>
      <c r="H98" s="12"/>
      <c r="I98" s="12"/>
      <c r="J98" s="20"/>
      <c r="K98" s="18"/>
      <c r="L98" s="427" t="str">
        <f>IF(AND(J94="нет",рек3="нет"),"да","нет")</f>
        <v>да</v>
      </c>
      <c r="M98" s="427" t="str">
        <f>IF(AND(I94="да",рек3="да"),"нет","да")</f>
        <v>да</v>
      </c>
      <c r="N98" s="427" t="str">
        <f>IF(AND(J94="нет",рек3="нет"),"да","нет")</f>
        <v>да</v>
      </c>
      <c r="O98" s="427" t="str">
        <f>IF(J94="нет","да","нет")</f>
        <v>да</v>
      </c>
      <c r="S98" s="380"/>
      <c r="T98" s="373"/>
    </row>
    <row r="99" spans="1:20" ht="45" hidden="1">
      <c r="A99" s="686" t="str">
        <f>IF(F98="да",_дпо,"")</f>
        <v>Получить высшее или среднее профессиональное образование.</v>
      </c>
      <c r="B99" s="687"/>
      <c r="C99" s="687"/>
      <c r="D99" s="687"/>
      <c r="E99" s="687"/>
      <c r="F99" s="687"/>
      <c r="G99" s="687"/>
      <c r="H99" s="687"/>
      <c r="I99" s="687"/>
      <c r="J99" s="688"/>
      <c r="K99" s="102" t="s">
        <v>46</v>
      </c>
      <c r="L99" s="428" t="s">
        <v>492</v>
      </c>
      <c r="M99" s="428" t="s">
        <v>493</v>
      </c>
      <c r="N99" s="428" t="s">
        <v>492</v>
      </c>
      <c r="S99" s="380"/>
      <c r="T99" s="373"/>
    </row>
    <row r="100" spans="1:20" ht="12.75" hidden="1">
      <c r="A100" s="686">
        <f>IF(рек3="нет",_рек3,"")</f>
      </c>
      <c r="B100" s="687"/>
      <c r="C100" s="687"/>
      <c r="D100" s="687"/>
      <c r="E100" s="687"/>
      <c r="F100" s="687"/>
      <c r="G100" s="687"/>
      <c r="H100" s="687"/>
      <c r="I100" s="687"/>
      <c r="J100" s="688"/>
      <c r="K100" s="102" t="s">
        <v>47</v>
      </c>
      <c r="M100" s="110"/>
      <c r="S100" s="380"/>
      <c r="T100" s="373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0"/>
      <c r="T101" s="373"/>
    </row>
    <row r="102" spans="1:20" s="57" customFormat="1" ht="14.25">
      <c r="A102" s="757" t="s">
        <v>508</v>
      </c>
      <c r="B102" s="758"/>
      <c r="C102" s="758"/>
      <c r="D102" s="758"/>
      <c r="E102" s="758"/>
      <c r="F102" s="758"/>
      <c r="G102" s="758"/>
      <c r="H102" s="758"/>
      <c r="I102" s="758"/>
      <c r="J102" s="105"/>
      <c r="M102" s="101"/>
      <c r="O102" s="18"/>
      <c r="S102" s="380"/>
      <c r="T102" s="373"/>
    </row>
    <row r="103" spans="1:20" ht="10.5" customHeight="1">
      <c r="A103" s="492"/>
      <c r="B103" s="316"/>
      <c r="C103" s="316"/>
      <c r="D103" s="316"/>
      <c r="E103" s="316"/>
      <c r="F103" s="316"/>
      <c r="G103" s="316"/>
      <c r="H103" s="316"/>
      <c r="I103" s="316"/>
      <c r="J103" s="493"/>
      <c r="L103" s="5"/>
      <c r="M103" s="5"/>
      <c r="N103" s="104"/>
      <c r="O103" s="18"/>
      <c r="P103" s="57"/>
      <c r="Q103" s="57"/>
      <c r="R103" s="69"/>
      <c r="S103" s="380"/>
      <c r="T103" s="373"/>
    </row>
    <row r="104" spans="1:20" ht="19.5" customHeight="1">
      <c r="A104" s="372" t="s">
        <v>499</v>
      </c>
      <c r="B104" s="316"/>
      <c r="C104" s="316"/>
      <c r="D104" s="316"/>
      <c r="E104" s="316"/>
      <c r="F104" s="316"/>
      <c r="G104" s="759" t="s">
        <v>25</v>
      </c>
      <c r="H104" s="759"/>
      <c r="I104" s="12"/>
      <c r="J104" s="493"/>
      <c r="K104" s="5"/>
      <c r="L104" s="5"/>
      <c r="M104" s="265"/>
      <c r="N104" s="104"/>
      <c r="O104" s="18"/>
      <c r="P104" s="57"/>
      <c r="Q104" s="57"/>
      <c r="S104" s="380"/>
      <c r="T104" s="373"/>
    </row>
    <row r="105" spans="1:20" ht="8.25" customHeight="1">
      <c r="A105" s="492"/>
      <c r="B105" s="316"/>
      <c r="C105" s="316"/>
      <c r="D105" s="316"/>
      <c r="E105" s="316">
        <f>IF(D104="да",#REF!,"")</f>
      </c>
      <c r="F105" s="316"/>
      <c r="G105" s="316"/>
      <c r="H105" s="316"/>
      <c r="I105" s="316"/>
      <c r="J105" s="493"/>
      <c r="L105" s="57"/>
      <c r="M105" s="219"/>
      <c r="N105" s="104"/>
      <c r="O105" s="18"/>
      <c r="P105" s="57"/>
      <c r="Q105" s="57"/>
      <c r="R105" s="57"/>
      <c r="S105" s="380"/>
      <c r="T105" s="373"/>
    </row>
    <row r="106" spans="1:20" ht="21" customHeight="1">
      <c r="A106" s="675" t="s">
        <v>48</v>
      </c>
      <c r="B106" s="676"/>
      <c r="C106" s="676"/>
      <c r="D106" s="676"/>
      <c r="E106" s="676"/>
      <c r="F106" s="676"/>
      <c r="G106" s="676"/>
      <c r="H106" s="676"/>
      <c r="I106" s="676"/>
      <c r="J106" s="24"/>
      <c r="K106" s="25"/>
      <c r="L106" s="103"/>
      <c r="M106" s="10"/>
      <c r="N106" s="11"/>
      <c r="O106" s="12"/>
      <c r="P106" s="12"/>
      <c r="Q106" s="12"/>
      <c r="R106" s="12"/>
      <c r="S106" s="380"/>
      <c r="T106" s="373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0"/>
      <c r="T107" s="373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504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0"/>
      <c r="T108" s="373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0"/>
      <c r="T109" s="373"/>
    </row>
    <row r="110" spans="1:20" ht="15">
      <c r="A110" s="121" t="s">
        <v>50</v>
      </c>
      <c r="B110" s="69"/>
      <c r="C110" s="677"/>
      <c r="D110" s="677"/>
      <c r="E110" s="677"/>
      <c r="F110" s="677"/>
      <c r="G110" s="677"/>
      <c r="H110" s="677"/>
      <c r="I110" s="677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0"/>
      <c r="T110" s="373"/>
    </row>
    <row r="111" spans="1:20" ht="18">
      <c r="A111" s="690" t="s">
        <v>51</v>
      </c>
      <c r="B111" s="69"/>
      <c r="C111" s="705" t="s">
        <v>52</v>
      </c>
      <c r="D111" s="705"/>
      <c r="E111" s="705"/>
      <c r="F111" s="705"/>
      <c r="G111" s="705"/>
      <c r="H111" s="705"/>
      <c r="I111" s="124"/>
      <c r="J111" s="125"/>
      <c r="K111" s="126"/>
      <c r="L111" s="26"/>
      <c r="R111" s="12"/>
      <c r="S111" s="380"/>
      <c r="T111" s="373"/>
    </row>
    <row r="112" spans="1:20" ht="15.75" customHeight="1">
      <c r="A112" s="690"/>
      <c r="B112" s="127" t="s">
        <v>53</v>
      </c>
      <c r="C112" s="677"/>
      <c r="D112" s="677"/>
      <c r="E112" s="677"/>
      <c r="F112" s="677"/>
      <c r="G112" s="677"/>
      <c r="H112" s="677"/>
      <c r="I112" s="677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0"/>
      <c r="T112" s="373"/>
    </row>
    <row r="113" spans="1:20" ht="18">
      <c r="A113" s="128"/>
      <c r="B113" s="127"/>
      <c r="C113" s="705" t="s">
        <v>52</v>
      </c>
      <c r="D113" s="705"/>
      <c r="E113" s="705"/>
      <c r="F113" s="705"/>
      <c r="G113" s="705"/>
      <c r="H113" s="705"/>
      <c r="I113" s="124"/>
      <c r="J113" s="125"/>
      <c r="K113" s="126"/>
      <c r="R113" s="12"/>
      <c r="S113" s="380"/>
      <c r="T113" s="373"/>
    </row>
    <row r="114" spans="1:20" ht="12.75" customHeight="1">
      <c r="A114" s="128"/>
      <c r="B114" s="127" t="str">
        <f>IF($F$108&gt;1,"2)","")</f>
        <v>2)</v>
      </c>
      <c r="C114" s="677"/>
      <c r="D114" s="677"/>
      <c r="E114" s="677"/>
      <c r="F114" s="677"/>
      <c r="G114" s="677"/>
      <c r="H114" s="677"/>
      <c r="I114" s="677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0"/>
      <c r="T114" s="373"/>
    </row>
    <row r="115" spans="1:20" ht="18">
      <c r="A115" s="128"/>
      <c r="B115" s="127"/>
      <c r="C115" s="705" t="s">
        <v>52</v>
      </c>
      <c r="D115" s="705"/>
      <c r="E115" s="705"/>
      <c r="F115" s="705"/>
      <c r="G115" s="705"/>
      <c r="H115" s="705"/>
      <c r="I115" s="124"/>
      <c r="J115" s="125"/>
      <c r="K115" s="126"/>
      <c r="R115" s="12"/>
      <c r="S115" s="380"/>
      <c r="T115" s="373"/>
    </row>
    <row r="116" spans="1:20" ht="15.75" customHeight="1" hidden="1">
      <c r="A116" s="129"/>
      <c r="B116" s="127">
        <f>IF($F$108&gt;2,"3)","")</f>
      </c>
      <c r="C116" s="691"/>
      <c r="D116" s="691"/>
      <c r="E116" s="691"/>
      <c r="F116" s="691"/>
      <c r="G116" s="691"/>
      <c r="H116" s="691"/>
      <c r="I116" s="691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0"/>
      <c r="T116" s="373"/>
    </row>
    <row r="117" spans="1:20" ht="15.75" customHeight="1" hidden="1">
      <c r="A117" s="129"/>
      <c r="B117" s="130"/>
      <c r="C117" s="692" t="s">
        <v>54</v>
      </c>
      <c r="D117" s="692"/>
      <c r="E117" s="692"/>
      <c r="F117" s="692"/>
      <c r="G117" s="692"/>
      <c r="H117" s="692"/>
      <c r="I117" s="124"/>
      <c r="J117" s="125"/>
      <c r="K117" s="126"/>
      <c r="R117" s="12"/>
      <c r="S117" s="380"/>
      <c r="T117" s="373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0"/>
      <c r="T118" s="373"/>
    </row>
    <row r="119" spans="1:20" ht="15.75" customHeight="1">
      <c r="A119" s="132" t="s">
        <v>55</v>
      </c>
      <c r="B119" s="133" t="s">
        <v>56</v>
      </c>
      <c r="C119" s="508">
        <v>1</v>
      </c>
      <c r="D119" s="134" t="s">
        <v>57</v>
      </c>
      <c r="E119" s="508" t="s">
        <v>58</v>
      </c>
      <c r="F119" s="135"/>
      <c r="G119" s="136">
        <v>20</v>
      </c>
      <c r="H119" s="509">
        <v>21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0"/>
      <c r="T119" s="373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0"/>
      <c r="T120" s="373"/>
    </row>
    <row r="121" spans="1:20" ht="24" customHeight="1">
      <c r="A121" s="693" t="s">
        <v>449</v>
      </c>
      <c r="B121" s="694"/>
      <c r="C121" s="694"/>
      <c r="D121" s="694"/>
      <c r="E121" s="694"/>
      <c r="F121" s="694"/>
      <c r="G121" s="694"/>
      <c r="H121" s="694"/>
      <c r="I121" s="694"/>
      <c r="J121" s="494"/>
      <c r="K121" s="18"/>
      <c r="R121" s="12"/>
      <c r="S121" s="380"/>
      <c r="T121" s="373"/>
    </row>
    <row r="122" spans="1:20" ht="15.75" customHeight="1">
      <c r="A122" s="513"/>
      <c r="B122" s="514"/>
      <c r="C122" s="514"/>
      <c r="D122" s="515"/>
      <c r="E122" s="516">
        <f>IF(F122="","","Всего набрано аттестуемым педагогическим работником  ")</f>
      </c>
      <c r="F122" s="517">
        <f>ЭЗ!Всего</f>
      </c>
      <c r="G122" s="518">
        <f>IF(F122="","","баллов.")</f>
      </c>
      <c r="H122" s="515"/>
      <c r="I122" s="519">
        <f>IF(F122="","","(мин. П-"&amp;порог_п&amp;", В-"&amp;порог_в&amp;")")</f>
      </c>
      <c r="J122" s="401"/>
      <c r="K122" s="18"/>
      <c r="R122" s="12"/>
      <c r="S122" s="380"/>
      <c r="T122" s="373"/>
    </row>
    <row r="123" spans="1:20" ht="21.75" customHeight="1">
      <c r="A123" s="520"/>
      <c r="B123" s="521"/>
      <c r="C123" s="521"/>
      <c r="D123" s="521"/>
      <c r="E123" s="521"/>
      <c r="F123" s="522"/>
      <c r="G123" s="521"/>
      <c r="H123" s="521"/>
      <c r="I123" s="18"/>
      <c r="J123" s="523">
        <f>IF(OR(F122="",долж_ОС&lt;&gt;"учитель"),"",B27)</f>
      </c>
      <c r="K123" s="18"/>
      <c r="R123" s="12"/>
      <c r="S123" s="380"/>
      <c r="T123" s="373"/>
    </row>
    <row r="124" spans="1:20" ht="15" customHeight="1">
      <c r="A124" s="746">
        <f>IF(OR(фио_ОС="",F122=0),"",ЭЗ!Z83&amp;K125&amp;ЭЗ!Z84)</f>
      </c>
      <c r="B124" s="747"/>
      <c r="C124" s="747"/>
      <c r="D124" s="747"/>
      <c r="E124" s="747"/>
      <c r="F124" s="747"/>
      <c r="G124" s="747"/>
      <c r="H124" s="747"/>
      <c r="I124" s="747"/>
      <c r="J124" s="748"/>
      <c r="K124" s="18">
        <f>ЭЗ!Z82</f>
      </c>
      <c r="R124" s="12"/>
      <c r="S124" s="380"/>
      <c r="T124" s="373"/>
    </row>
    <row r="125" spans="1:20" ht="23.25" customHeight="1">
      <c r="A125" s="746"/>
      <c r="B125" s="747"/>
      <c r="C125" s="747"/>
      <c r="D125" s="747"/>
      <c r="E125" s="747"/>
      <c r="F125" s="747"/>
      <c r="G125" s="747"/>
      <c r="H125" s="747"/>
      <c r="I125" s="747"/>
      <c r="J125" s="748"/>
      <c r="K125" s="426" t="s">
        <v>454</v>
      </c>
      <c r="L125" s="2" t="s">
        <v>489</v>
      </c>
      <c r="R125" s="12"/>
      <c r="S125" s="380"/>
      <c r="T125" s="373"/>
    </row>
    <row r="126" spans="1:20" ht="15.75" customHeight="1">
      <c r="A126" s="708">
        <f>IF(A127="","","Рекомендации: ")</f>
      </c>
      <c r="B126" s="709"/>
      <c r="C126" s="709"/>
      <c r="D126" s="709"/>
      <c r="E126" s="709"/>
      <c r="F126" s="709"/>
      <c r="G126" s="709"/>
      <c r="H126" s="709"/>
      <c r="I126" s="709"/>
      <c r="J126" s="710"/>
      <c r="K126" s="18"/>
      <c r="R126" s="12"/>
      <c r="S126" s="380"/>
      <c r="T126" s="373"/>
    </row>
    <row r="127" spans="1:20" ht="29.25" customHeight="1">
      <c r="A127" s="695">
        <f>IF(фио_ОС="","",рек_итог)</f>
      </c>
      <c r="B127" s="696"/>
      <c r="C127" s="696"/>
      <c r="D127" s="696"/>
      <c r="E127" s="696"/>
      <c r="F127" s="696"/>
      <c r="G127" s="696"/>
      <c r="H127" s="696"/>
      <c r="I127" s="696"/>
      <c r="J127" s="697"/>
      <c r="K127" s="18"/>
      <c r="R127" s="12"/>
      <c r="S127" s="380"/>
      <c r="T127" s="373"/>
    </row>
    <row r="128" spans="1:20" ht="2.25" customHeight="1">
      <c r="A128" s="524"/>
      <c r="B128" s="525"/>
      <c r="C128" s="525"/>
      <c r="D128" s="525"/>
      <c r="E128" s="525"/>
      <c r="F128" s="525"/>
      <c r="G128" s="525"/>
      <c r="H128" s="525"/>
      <c r="I128" s="525"/>
      <c r="J128" s="140"/>
      <c r="K128" s="18"/>
      <c r="R128" s="12"/>
      <c r="S128" s="380"/>
      <c r="T128" s="373"/>
    </row>
    <row r="129" spans="1:20" ht="15.75" customHeight="1">
      <c r="A129" s="699" t="str">
        <f>IF(ЭЗ!A486&lt;12,"Введите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00"/>
      <c r="C129" s="700"/>
      <c r="D129" s="700"/>
      <c r="E129" s="700"/>
      <c r="F129" s="700"/>
      <c r="G129" s="700"/>
      <c r="H129" s="700"/>
      <c r="I129" s="700"/>
      <c r="J129" s="701"/>
      <c r="K129" s="1"/>
      <c r="R129" s="12"/>
      <c r="S129" s="380"/>
      <c r="T129" s="373"/>
    </row>
    <row r="130" spans="1:20" ht="9" customHeight="1">
      <c r="A130" s="702"/>
      <c r="B130" s="703"/>
      <c r="C130" s="703"/>
      <c r="D130" s="703"/>
      <c r="E130" s="703"/>
      <c r="F130" s="703"/>
      <c r="G130" s="703"/>
      <c r="H130" s="703"/>
      <c r="I130" s="703"/>
      <c r="J130" s="704"/>
      <c r="K130" s="311" t="s">
        <v>60</v>
      </c>
      <c r="R130" s="12"/>
      <c r="S130" s="380"/>
      <c r="T130" s="373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0"/>
      <c r="T131" s="373"/>
    </row>
    <row r="132" spans="1:20" ht="15.75" customHeight="1" hidden="1">
      <c r="A132" s="12">
        <v>1</v>
      </c>
      <c r="B132" s="309" t="s">
        <v>61</v>
      </c>
      <c r="C132" s="310" t="s">
        <v>62</v>
      </c>
      <c r="D132" s="311" t="s">
        <v>63</v>
      </c>
      <c r="E132" s="310" t="s">
        <v>64</v>
      </c>
      <c r="F132" s="309" t="s">
        <v>65</v>
      </c>
      <c r="G132" s="310" t="s">
        <v>66</v>
      </c>
      <c r="H132" s="309" t="s">
        <v>67</v>
      </c>
      <c r="I132" s="312"/>
      <c r="J132" s="313" t="s">
        <v>333</v>
      </c>
      <c r="K132" s="2"/>
      <c r="L132" s="3"/>
      <c r="M132" s="4"/>
      <c r="N132" s="5"/>
      <c r="P132" s="142"/>
      <c r="Q132" s="12"/>
      <c r="R132" s="12"/>
      <c r="S132" s="380"/>
      <c r="T132" s="373"/>
    </row>
    <row r="133" spans="1:20" ht="15.75" customHeight="1" hidden="1">
      <c r="A133" s="12">
        <v>2</v>
      </c>
      <c r="B133" s="309" t="s">
        <v>271</v>
      </c>
      <c r="C133" s="310" t="s">
        <v>68</v>
      </c>
      <c r="D133" s="311" t="s">
        <v>329</v>
      </c>
      <c r="E133" s="310" t="s">
        <v>69</v>
      </c>
      <c r="F133" s="309" t="s">
        <v>70</v>
      </c>
      <c r="G133" s="310" t="s">
        <v>71</v>
      </c>
      <c r="H133" s="309" t="s">
        <v>72</v>
      </c>
      <c r="I133" s="12"/>
      <c r="K133" s="2"/>
      <c r="L133" s="3"/>
      <c r="M133" s="4"/>
      <c r="N133" s="5"/>
      <c r="P133" s="142"/>
      <c r="Q133" s="12"/>
      <c r="R133" s="12"/>
      <c r="S133" s="380"/>
      <c r="T133" s="373"/>
    </row>
    <row r="134" spans="1:20" ht="15.75" customHeight="1" hidden="1">
      <c r="A134" s="12">
        <v>3</v>
      </c>
      <c r="B134" s="309" t="s">
        <v>73</v>
      </c>
      <c r="C134" s="310" t="s">
        <v>74</v>
      </c>
      <c r="D134" s="311" t="s">
        <v>75</v>
      </c>
      <c r="E134" s="310" t="s">
        <v>76</v>
      </c>
      <c r="F134" s="309" t="s">
        <v>77</v>
      </c>
      <c r="G134" s="310" t="s">
        <v>78</v>
      </c>
      <c r="H134" s="309" t="s">
        <v>79</v>
      </c>
      <c r="I134" s="12"/>
      <c r="K134" s="2"/>
      <c r="L134" s="3"/>
      <c r="M134" s="4"/>
      <c r="N134" s="5"/>
      <c r="P134" s="142"/>
      <c r="Q134" s="12"/>
      <c r="R134" s="12"/>
      <c r="S134" s="380"/>
      <c r="T134" s="373"/>
    </row>
    <row r="135" spans="1:20" ht="15.75" customHeight="1" hidden="1">
      <c r="A135" s="12">
        <v>4</v>
      </c>
      <c r="B135" s="309" t="s">
        <v>84</v>
      </c>
      <c r="C135" s="310" t="s">
        <v>85</v>
      </c>
      <c r="D135" s="311" t="s">
        <v>80</v>
      </c>
      <c r="E135" s="310" t="s">
        <v>81</v>
      </c>
      <c r="F135" s="309" t="s">
        <v>331</v>
      </c>
      <c r="G135" s="310" t="s">
        <v>82</v>
      </c>
      <c r="H135" s="309" t="s">
        <v>83</v>
      </c>
      <c r="I135" s="12"/>
      <c r="K135" s="2"/>
      <c r="L135" s="3"/>
      <c r="M135" s="4"/>
      <c r="N135" s="5"/>
      <c r="P135" s="142"/>
      <c r="Q135" s="12"/>
      <c r="R135" s="12"/>
      <c r="S135" s="380"/>
      <c r="T135" s="373"/>
    </row>
    <row r="136" spans="1:20" ht="15.75" customHeight="1" hidden="1">
      <c r="A136" s="12">
        <v>5</v>
      </c>
      <c r="B136" s="309" t="s">
        <v>91</v>
      </c>
      <c r="C136" s="310" t="s">
        <v>92</v>
      </c>
      <c r="D136" s="311" t="s">
        <v>86</v>
      </c>
      <c r="E136" s="310" t="s">
        <v>87</v>
      </c>
      <c r="F136" s="309" t="s">
        <v>88</v>
      </c>
      <c r="G136" s="310" t="s">
        <v>89</v>
      </c>
      <c r="H136" s="309" t="s">
        <v>90</v>
      </c>
      <c r="I136" s="12"/>
      <c r="K136" s="2"/>
      <c r="L136" s="3"/>
      <c r="M136" s="4"/>
      <c r="N136" s="5"/>
      <c r="P136" s="142"/>
      <c r="Q136" s="12"/>
      <c r="R136" s="12"/>
      <c r="S136" s="380"/>
      <c r="T136" s="373"/>
    </row>
    <row r="137" spans="1:20" ht="15.75" customHeight="1" hidden="1">
      <c r="A137" s="12">
        <v>6</v>
      </c>
      <c r="B137" s="309" t="s">
        <v>98</v>
      </c>
      <c r="C137" s="310" t="s">
        <v>328</v>
      </c>
      <c r="D137" s="311" t="s">
        <v>93</v>
      </c>
      <c r="E137" s="310" t="s">
        <v>94</v>
      </c>
      <c r="F137" s="309" t="s">
        <v>95</v>
      </c>
      <c r="G137" s="310" t="s">
        <v>96</v>
      </c>
      <c r="H137" s="309" t="s">
        <v>97</v>
      </c>
      <c r="I137" s="12"/>
      <c r="K137" s="2"/>
      <c r="L137" s="3"/>
      <c r="M137" s="4"/>
      <c r="N137" s="5"/>
      <c r="P137" s="142"/>
      <c r="Q137" s="12"/>
      <c r="R137" s="12"/>
      <c r="S137" s="380"/>
      <c r="T137" s="373"/>
    </row>
    <row r="138" spans="1:20" ht="15.75" customHeight="1" hidden="1">
      <c r="A138" s="12">
        <v>7</v>
      </c>
      <c r="B138" s="309" t="s">
        <v>102</v>
      </c>
      <c r="C138" s="310" t="s">
        <v>103</v>
      </c>
      <c r="D138" s="311" t="s">
        <v>99</v>
      </c>
      <c r="E138" s="310" t="s">
        <v>100</v>
      </c>
      <c r="F138" s="309" t="s">
        <v>332</v>
      </c>
      <c r="G138" s="310" t="s">
        <v>107</v>
      </c>
      <c r="H138" s="309" t="s">
        <v>101</v>
      </c>
      <c r="I138" s="12"/>
      <c r="K138" s="2"/>
      <c r="L138" s="3"/>
      <c r="M138" s="4"/>
      <c r="N138" s="5"/>
      <c r="P138" s="142"/>
      <c r="Q138" s="12"/>
      <c r="R138" s="12"/>
      <c r="S138" s="380"/>
      <c r="T138" s="373"/>
    </row>
    <row r="139" spans="1:20" ht="15.75" customHeight="1" hidden="1">
      <c r="A139" s="12">
        <v>8</v>
      </c>
      <c r="B139" s="309" t="s">
        <v>109</v>
      </c>
      <c r="C139" s="310" t="s">
        <v>110</v>
      </c>
      <c r="D139" s="311" t="s">
        <v>104</v>
      </c>
      <c r="E139" s="310" t="s">
        <v>105</v>
      </c>
      <c r="F139" s="309" t="s">
        <v>106</v>
      </c>
      <c r="G139" s="311" t="s">
        <v>5</v>
      </c>
      <c r="H139" s="309" t="s">
        <v>108</v>
      </c>
      <c r="I139" s="12"/>
      <c r="K139" s="2"/>
      <c r="L139" s="3"/>
      <c r="M139" s="4"/>
      <c r="N139" s="5"/>
      <c r="P139" s="142"/>
      <c r="Q139" s="12"/>
      <c r="R139" s="12"/>
      <c r="S139" s="380"/>
      <c r="T139" s="373"/>
    </row>
    <row r="140" spans="1:20" ht="15.75" customHeight="1" hidden="1">
      <c r="A140" s="12">
        <v>9</v>
      </c>
      <c r="B140" s="309" t="s">
        <v>5</v>
      </c>
      <c r="C140" s="310" t="s">
        <v>113</v>
      </c>
      <c r="D140" s="311" t="s">
        <v>114</v>
      </c>
      <c r="E140" s="310" t="s">
        <v>111</v>
      </c>
      <c r="F140" s="309" t="s">
        <v>112</v>
      </c>
      <c r="G140" s="310" t="s">
        <v>5</v>
      </c>
      <c r="H140" s="311" t="s">
        <v>5</v>
      </c>
      <c r="I140" s="12"/>
      <c r="K140" s="2"/>
      <c r="L140" s="3"/>
      <c r="M140" s="4"/>
      <c r="N140" s="5"/>
      <c r="P140" s="142"/>
      <c r="Q140" s="12"/>
      <c r="R140" s="12"/>
      <c r="S140" s="380"/>
      <c r="T140" s="373"/>
    </row>
    <row r="141" spans="1:20" ht="15.75" customHeight="1" hidden="1">
      <c r="A141" s="12">
        <v>10</v>
      </c>
      <c r="B141" s="309" t="s">
        <v>5</v>
      </c>
      <c r="C141" s="310" t="s">
        <v>115</v>
      </c>
      <c r="D141" s="311" t="s">
        <v>5</v>
      </c>
      <c r="E141" s="310" t="s">
        <v>330</v>
      </c>
      <c r="F141" s="311" t="s">
        <v>5</v>
      </c>
      <c r="G141" s="310" t="s">
        <v>5</v>
      </c>
      <c r="H141" s="309" t="s">
        <v>5</v>
      </c>
      <c r="I141" s="12"/>
      <c r="K141" s="2"/>
      <c r="L141" s="3"/>
      <c r="M141" s="4"/>
      <c r="N141" s="5"/>
      <c r="P141" s="142"/>
      <c r="Q141" s="12"/>
      <c r="R141" s="12"/>
      <c r="S141" s="380"/>
      <c r="T141" s="373"/>
    </row>
    <row r="142" spans="1:20" ht="15.75" customHeight="1" hidden="1">
      <c r="A142" s="12">
        <v>11</v>
      </c>
      <c r="B142" s="309" t="s">
        <v>5</v>
      </c>
      <c r="C142" s="310" t="s">
        <v>116</v>
      </c>
      <c r="D142" s="311" t="s">
        <v>5</v>
      </c>
      <c r="E142" s="311" t="s">
        <v>5</v>
      </c>
      <c r="F142" s="309" t="s">
        <v>5</v>
      </c>
      <c r="G142" s="310" t="s">
        <v>5</v>
      </c>
      <c r="H142" s="309" t="s">
        <v>5</v>
      </c>
      <c r="I142" s="12"/>
      <c r="K142" s="2"/>
      <c r="L142" s="3"/>
      <c r="M142" s="4"/>
      <c r="N142" s="5"/>
      <c r="P142" s="142"/>
      <c r="Q142" s="12"/>
      <c r="R142" s="12"/>
      <c r="S142" s="380"/>
      <c r="T142" s="373"/>
    </row>
    <row r="143" spans="1:20" ht="15.75" customHeight="1" hidden="1">
      <c r="A143" s="12">
        <v>12</v>
      </c>
      <c r="B143" s="309" t="s">
        <v>5</v>
      </c>
      <c r="C143" s="310" t="s">
        <v>117</v>
      </c>
      <c r="D143" s="311" t="s">
        <v>5</v>
      </c>
      <c r="E143" s="310" t="s">
        <v>5</v>
      </c>
      <c r="F143" s="309" t="s">
        <v>5</v>
      </c>
      <c r="G143" s="310" t="s">
        <v>5</v>
      </c>
      <c r="H143" s="309" t="s">
        <v>5</v>
      </c>
      <c r="I143" s="12"/>
      <c r="K143" s="2"/>
      <c r="L143" s="3"/>
      <c r="M143" s="4"/>
      <c r="N143" s="5"/>
      <c r="P143" s="142"/>
      <c r="Q143" s="12"/>
      <c r="R143" s="12"/>
      <c r="S143" s="380"/>
      <c r="T143" s="373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0"/>
      <c r="T144" s="373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0"/>
      <c r="T145" s="373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0"/>
      <c r="T146" s="373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0"/>
      <c r="T147" s="373"/>
    </row>
    <row r="148" spans="1:256" ht="19.5" customHeight="1">
      <c r="A148" s="683" t="s">
        <v>118</v>
      </c>
      <c r="B148" s="684"/>
      <c r="C148" s="684"/>
      <c r="D148" s="684"/>
      <c r="E148" s="684"/>
      <c r="F148" s="684"/>
      <c r="G148" s="684"/>
      <c r="H148" s="684"/>
      <c r="I148" s="684"/>
      <c r="J148" s="685"/>
      <c r="K148" s="144"/>
      <c r="L148" s="145"/>
      <c r="M148" s="146"/>
      <c r="N148" s="147"/>
      <c r="O148" s="148"/>
      <c r="P148" s="148"/>
      <c r="Q148" s="148"/>
      <c r="R148" s="149"/>
      <c r="S148" s="380"/>
      <c r="T148" s="373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0"/>
      <c r="T149" s="373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0"/>
      <c r="T150" s="373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3" t="s">
        <v>164</v>
      </c>
      <c r="B151" s="684"/>
      <c r="C151" s="684"/>
      <c r="D151" s="684"/>
      <c r="E151" s="684"/>
      <c r="F151" s="684"/>
      <c r="G151" s="684"/>
      <c r="H151" s="684"/>
      <c r="I151" s="684"/>
      <c r="J151" s="685"/>
      <c r="K151" s="144"/>
      <c r="L151" s="145"/>
      <c r="M151" s="152"/>
      <c r="N151" s="152"/>
      <c r="O151" s="152"/>
      <c r="P151" s="153"/>
      <c r="Q151" s="153"/>
      <c r="R151" s="149"/>
      <c r="S151" s="380"/>
      <c r="T151" s="373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45" t="s">
        <v>176</v>
      </c>
      <c r="B153" s="745"/>
      <c r="C153" s="745"/>
      <c r="D153" s="745"/>
      <c r="E153" s="745"/>
      <c r="F153" s="745"/>
      <c r="G153" s="745"/>
      <c r="H153" s="745"/>
      <c r="I153" s="745"/>
      <c r="J153" s="745"/>
      <c r="K153" s="18"/>
      <c r="L153" s="18"/>
      <c r="M153" s="18"/>
      <c r="N153" s="18"/>
      <c r="S153" s="380"/>
      <c r="T153" s="526"/>
    </row>
    <row r="154" spans="1:20" ht="16.5" customHeight="1">
      <c r="A154" s="745" t="s">
        <v>165</v>
      </c>
      <c r="B154" s="745"/>
      <c r="C154" s="745"/>
      <c r="D154" s="745"/>
      <c r="E154" s="745"/>
      <c r="F154" s="745"/>
      <c r="G154" s="745"/>
      <c r="H154" s="745"/>
      <c r="I154" s="745"/>
      <c r="J154" s="745"/>
      <c r="K154" s="18"/>
      <c r="L154" s="762" t="s">
        <v>480</v>
      </c>
      <c r="M154" s="762"/>
      <c r="S154" s="380"/>
      <c r="T154" s="526"/>
    </row>
    <row r="155" spans="1:256" ht="18.75" customHeight="1">
      <c r="A155" s="667" t="s">
        <v>498</v>
      </c>
      <c r="B155" s="667"/>
      <c r="C155" s="667"/>
      <c r="D155" s="667"/>
      <c r="E155" s="667"/>
      <c r="F155" s="667"/>
      <c r="G155" s="667"/>
      <c r="H155" s="667"/>
      <c r="I155" s="667"/>
      <c r="J155" s="667"/>
      <c r="K155" s="18"/>
      <c r="L155" s="150"/>
      <c r="M155" s="150"/>
      <c r="N155" s="154" t="s">
        <v>166</v>
      </c>
      <c r="O155" s="150"/>
      <c r="P155" s="150"/>
      <c r="Q155" s="150"/>
      <c r="R155" s="150"/>
      <c r="S155" s="380"/>
      <c r="T155" s="526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98" t="s">
        <v>644</v>
      </c>
      <c r="B156" s="698"/>
      <c r="C156" s="698"/>
      <c r="D156" s="698"/>
      <c r="E156" s="698"/>
      <c r="F156" s="698"/>
      <c r="G156" s="698"/>
      <c r="H156" s="698"/>
      <c r="I156" s="698"/>
      <c r="J156" s="698"/>
      <c r="K156" s="681" t="s">
        <v>167</v>
      </c>
      <c r="L156" s="155" t="s">
        <v>168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448</v>
      </c>
      <c r="O156" s="150"/>
      <c r="P156" s="150"/>
      <c r="Q156" s="150"/>
      <c r="R156" s="150"/>
      <c r="S156" s="380"/>
      <c r="T156" s="526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98"/>
      <c r="B157" s="698"/>
      <c r="C157" s="698"/>
      <c r="D157" s="698"/>
      <c r="E157" s="698"/>
      <c r="F157" s="698"/>
      <c r="G157" s="698"/>
      <c r="H157" s="698"/>
      <c r="I157" s="698"/>
      <c r="J157" s="698"/>
      <c r="K157" s="681"/>
      <c r="L157" s="158" t="s">
        <v>169</v>
      </c>
      <c r="M157" s="159" t="str">
        <f>IF(рек_общ="",рез_2&amp;рез_3,IF(рез_2="",рек_общ&amp;рез_3,рез_2&amp;рез_3))</f>
        <v>Получить высшее или среднее профессиональное образование.</v>
      </c>
      <c r="N157" s="160" t="s">
        <v>170</v>
      </c>
      <c r="O157" s="150"/>
      <c r="P157" s="150"/>
      <c r="Q157" s="150"/>
      <c r="R157" s="150"/>
      <c r="S157" s="380"/>
      <c r="T157" s="526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22"/>
      <c r="B158" s="422"/>
      <c r="C158" s="422"/>
      <c r="D158" s="422"/>
      <c r="E158" s="422"/>
      <c r="F158" s="422"/>
      <c r="G158" s="422"/>
      <c r="H158" s="422"/>
      <c r="I158" s="422"/>
      <c r="J158" s="422"/>
      <c r="K158" s="161"/>
      <c r="L158" s="150"/>
      <c r="M158" s="162"/>
      <c r="N158" s="163"/>
      <c r="O158" s="150"/>
      <c r="P158" s="150"/>
      <c r="Q158" s="150"/>
      <c r="R158" s="150"/>
      <c r="S158" s="380"/>
      <c r="T158" s="526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682" t="str">
        <f>O172</f>
        <v>2) если у педагога нет высшего или среднего профессионального образования  </v>
      </c>
      <c r="B159" s="682"/>
      <c r="C159" s="682"/>
      <c r="D159" s="682"/>
      <c r="E159" s="682"/>
      <c r="F159" s="682"/>
      <c r="G159" s="682"/>
      <c r="H159" s="682"/>
      <c r="I159" s="682"/>
      <c r="J159" s="682"/>
      <c r="K159" s="164"/>
      <c r="L159" s="669"/>
      <c r="M159" s="669"/>
      <c r="N159" s="669"/>
      <c r="O159" s="150"/>
      <c r="P159" s="150"/>
      <c r="Q159" s="150"/>
      <c r="R159" s="150"/>
      <c r="S159" s="380"/>
      <c r="T159" s="526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682"/>
      <c r="B160" s="682"/>
      <c r="C160" s="682"/>
      <c r="D160" s="682"/>
      <c r="E160" s="682"/>
      <c r="F160" s="682"/>
      <c r="G160" s="682"/>
      <c r="H160" s="682"/>
      <c r="I160" s="682"/>
      <c r="J160" s="682"/>
      <c r="K160" s="164"/>
      <c r="L160" s="669"/>
      <c r="M160" s="669"/>
      <c r="N160" s="669"/>
      <c r="O160" s="150"/>
      <c r="P160" s="150"/>
      <c r="Q160" s="150"/>
      <c r="R160" s="150"/>
      <c r="S160" s="380"/>
      <c r="T160" s="526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2"/>
      <c r="B161" s="682"/>
      <c r="C161" s="682"/>
      <c r="D161" s="682"/>
      <c r="E161" s="682"/>
      <c r="F161" s="682"/>
      <c r="G161" s="682"/>
      <c r="H161" s="682"/>
      <c r="I161" s="682"/>
      <c r="J161" s="682"/>
      <c r="K161" s="164"/>
      <c r="L161" s="669"/>
      <c r="M161" s="669"/>
      <c r="N161" s="669"/>
      <c r="O161" s="150"/>
      <c r="P161" s="150"/>
      <c r="Q161" s="150"/>
      <c r="R161" s="150"/>
      <c r="S161" s="380"/>
      <c r="T161" s="526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82"/>
      <c r="B162" s="682"/>
      <c r="C162" s="682"/>
      <c r="D162" s="682"/>
      <c r="E162" s="682"/>
      <c r="F162" s="682"/>
      <c r="G162" s="682"/>
      <c r="H162" s="682"/>
      <c r="I162" s="682"/>
      <c r="J162" s="682"/>
      <c r="K162" s="164"/>
      <c r="L162" s="150"/>
      <c r="M162" s="150"/>
      <c r="N162" s="163"/>
      <c r="O162" s="150"/>
      <c r="P162" s="150"/>
      <c r="Q162" s="150"/>
      <c r="R162" s="150"/>
      <c r="S162" s="380"/>
      <c r="T162" s="526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68" t="str">
        <f>N172</f>
        <v>Получить высшее или среднее профессиональное образование.</v>
      </c>
      <c r="B163" s="668"/>
      <c r="C163" s="668"/>
      <c r="D163" s="668"/>
      <c r="E163" s="668"/>
      <c r="F163" s="668"/>
      <c r="G163" s="668"/>
      <c r="H163" s="668"/>
      <c r="I163" s="668"/>
      <c r="J163" s="668"/>
      <c r="K163" s="674" t="s">
        <v>172</v>
      </c>
      <c r="L163" s="165" t="s">
        <v>173</v>
      </c>
      <c r="M163" s="2" t="s">
        <v>170</v>
      </c>
      <c r="S163" s="380"/>
      <c r="T163" s="526"/>
    </row>
    <row r="164" spans="1:20" ht="6.75" customHeight="1" hidden="1">
      <c r="A164" s="667" t="str">
        <f>Q172</f>
        <v> ---</v>
      </c>
      <c r="B164" s="667" t="s">
        <v>174</v>
      </c>
      <c r="C164" s="667"/>
      <c r="D164" s="667"/>
      <c r="E164" s="667"/>
      <c r="F164" s="667"/>
      <c r="G164" s="667"/>
      <c r="H164" s="667"/>
      <c r="I164" s="667"/>
      <c r="J164" s="667"/>
      <c r="K164" s="674"/>
      <c r="L164" s="630"/>
      <c r="M164" s="10"/>
      <c r="N164" s="11"/>
      <c r="O164" s="12"/>
      <c r="P164" s="12"/>
      <c r="Q164" s="12"/>
      <c r="R164" s="12"/>
      <c r="S164" s="631"/>
      <c r="T164" s="526"/>
    </row>
    <row r="165" spans="1:256" ht="3" customHeight="1" hidden="1">
      <c r="A165" s="668">
        <f>IF(A164=" ---","",P172)</f>
      </c>
      <c r="B165" s="668"/>
      <c r="C165" s="668"/>
      <c r="D165" s="668"/>
      <c r="E165" s="668"/>
      <c r="F165" s="668"/>
      <c r="G165" s="668"/>
      <c r="H165" s="668"/>
      <c r="I165" s="668"/>
      <c r="J165" s="668"/>
      <c r="K165" s="102" t="s">
        <v>175</v>
      </c>
      <c r="L165" s="630"/>
      <c r="M165" s="10"/>
      <c r="N165" s="11"/>
      <c r="O165" s="12"/>
      <c r="P165" s="12"/>
      <c r="Q165" s="12"/>
      <c r="R165" s="12"/>
      <c r="S165" s="631"/>
      <c r="T165" s="526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0"/>
      <c r="M166" s="10"/>
      <c r="N166" s="11"/>
      <c r="O166" s="12"/>
      <c r="P166" s="12"/>
      <c r="Q166" s="12"/>
      <c r="R166" s="12"/>
      <c r="S166" s="631"/>
      <c r="T166" s="526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0"/>
      <c r="M167" s="10"/>
      <c r="N167" s="11"/>
      <c r="O167" s="12"/>
      <c r="P167" s="12"/>
      <c r="Q167" s="12"/>
      <c r="R167" s="12"/>
      <c r="S167" s="631"/>
      <c r="T167" s="526"/>
    </row>
    <row r="168" spans="1:20" ht="16.5" customHeight="1">
      <c r="A168" s="745" t="s">
        <v>497</v>
      </c>
      <c r="B168" s="745"/>
      <c r="C168" s="745"/>
      <c r="D168" s="745"/>
      <c r="E168" s="745"/>
      <c r="F168" s="745"/>
      <c r="G168" s="745"/>
      <c r="H168" s="745"/>
      <c r="I168" s="745"/>
      <c r="J168" s="745"/>
      <c r="K168" s="629" t="s">
        <v>495</v>
      </c>
      <c r="L168" s="630"/>
      <c r="M168" s="10"/>
      <c r="N168" s="11"/>
      <c r="O168" s="12"/>
      <c r="P168" s="12"/>
      <c r="Q168" s="12"/>
      <c r="R168" s="12"/>
      <c r="S168" s="631"/>
      <c r="T168" s="526"/>
    </row>
    <row r="169" spans="1:256" ht="12.75">
      <c r="A169" s="678" t="s">
        <v>496</v>
      </c>
      <c r="B169" s="678"/>
      <c r="C169" s="678"/>
      <c r="D169" s="678"/>
      <c r="E169" s="678"/>
      <c r="F169" s="678"/>
      <c r="G169" s="678"/>
      <c r="H169" s="678"/>
      <c r="I169" s="678"/>
      <c r="J169" s="678"/>
      <c r="K169" s="439" t="str">
        <f>T2</f>
        <v># 10</v>
      </c>
      <c r="L169" s="12"/>
      <c r="M169" s="12"/>
      <c r="N169" s="12"/>
      <c r="O169" s="12"/>
      <c r="P169" s="12"/>
      <c r="Q169" s="12"/>
      <c r="R169" s="12"/>
      <c r="S169" s="380"/>
      <c r="T169" s="526"/>
      <c r="U169" s="380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38"/>
      <c r="B170" s="221"/>
      <c r="C170" s="220"/>
      <c r="D170" s="220"/>
      <c r="E170" s="220"/>
      <c r="F170" s="220"/>
      <c r="G170" s="220"/>
      <c r="H170" s="220"/>
      <c r="I170" s="220"/>
      <c r="J170" s="220"/>
      <c r="K170" s="443">
        <v>1</v>
      </c>
      <c r="L170" s="440">
        <v>2</v>
      </c>
      <c r="M170" s="440">
        <v>3</v>
      </c>
      <c r="N170" s="440">
        <v>4</v>
      </c>
      <c r="O170" s="440">
        <v>5</v>
      </c>
      <c r="P170" s="440">
        <v>6</v>
      </c>
      <c r="Q170" s="440">
        <v>7</v>
      </c>
      <c r="R170" s="440">
        <v>8</v>
      </c>
      <c r="S170" s="440">
        <v>9</v>
      </c>
      <c r="T170" s="526"/>
    </row>
    <row r="171" spans="1:20" ht="24.75" thickBot="1">
      <c r="A171" s="640" t="s">
        <v>12</v>
      </c>
      <c r="B171" s="744" t="s">
        <v>177</v>
      </c>
      <c r="C171" s="744"/>
      <c r="D171" s="744"/>
      <c r="E171" s="744"/>
      <c r="F171" s="744"/>
      <c r="G171" s="744"/>
      <c r="H171" s="744"/>
      <c r="I171" s="744"/>
      <c r="J171" s="744"/>
      <c r="K171" s="635" t="s">
        <v>639</v>
      </c>
      <c r="L171" s="441" t="s">
        <v>481</v>
      </c>
      <c r="M171" s="441" t="s">
        <v>482</v>
      </c>
      <c r="N171" s="442" t="s">
        <v>441</v>
      </c>
      <c r="O171" s="453" t="s">
        <v>505</v>
      </c>
      <c r="P171" s="442" t="s">
        <v>442</v>
      </c>
      <c r="Q171" s="191"/>
      <c r="R171" s="191"/>
      <c r="S171" s="441" t="s">
        <v>177</v>
      </c>
      <c r="T171" s="526"/>
    </row>
    <row r="172" spans="1:20" ht="58.5" customHeight="1" thickBot="1" thickTop="1">
      <c r="A172" s="639" t="str">
        <f>R172</f>
        <v>Инструктор по труду </v>
      </c>
      <c r="B172" s="743" t="str">
        <f>S172</f>
        <v>Высшее профессиональное образование или среднее профессиональное образование без предъявления требований к стажу работы.</v>
      </c>
      <c r="C172" s="743"/>
      <c r="D172" s="743"/>
      <c r="E172" s="743"/>
      <c r="F172" s="743"/>
      <c r="G172" s="743"/>
      <c r="H172" s="743"/>
      <c r="I172" s="743"/>
      <c r="J172" s="743"/>
      <c r="K172" s="605" t="str">
        <f>IF(долж_ОС="учитель","учитель",долж_ОС)</f>
        <v>инструктор по труду</v>
      </c>
      <c r="L172" s="607" t="str">
        <f>VLOOKUP($K$172,$K$175:$S$204,L170)</f>
        <v>Наличие/получение высшего или среднего профессионального образования </v>
      </c>
      <c r="M172" s="607" t="str">
        <f aca="true" t="shared" si="1" ref="M172:S172">VLOOKUP($K$172,$K$175:$S$204,M170)</f>
        <v> ---</v>
      </c>
      <c r="N172" s="608" t="str">
        <f t="shared" si="1"/>
        <v>Получить высшее или среднее профессиональное образование.</v>
      </c>
      <c r="O172" s="609" t="str">
        <f t="shared" si="1"/>
        <v>2) если у педагога нет высшего или среднего профессионального образования  </v>
      </c>
      <c r="P172" s="610" t="str">
        <f t="shared" si="1"/>
        <v> ---</v>
      </c>
      <c r="Q172" s="609" t="str">
        <f t="shared" si="1"/>
        <v> ---</v>
      </c>
      <c r="R172" s="606" t="str">
        <f t="shared" si="1"/>
        <v>Инструктор по труду </v>
      </c>
      <c r="S172" s="606" t="str">
        <f t="shared" si="1"/>
        <v>Высшее профессиональное образование или среднее профессиональное образование без предъявления требований к стажу работы.</v>
      </c>
      <c r="T172" s="526"/>
    </row>
    <row r="173" spans="1:20" ht="13.5" thickTop="1">
      <c r="A173" s="666" t="s">
        <v>581</v>
      </c>
      <c r="B173" s="666"/>
      <c r="C173" s="666"/>
      <c r="D173" s="666"/>
      <c r="E173" s="666"/>
      <c r="F173" s="666"/>
      <c r="G173" s="666"/>
      <c r="H173" s="666"/>
      <c r="I173" s="666"/>
      <c r="J173" s="666"/>
      <c r="K173" s="454"/>
      <c r="L173" s="430"/>
      <c r="M173" s="430"/>
      <c r="N173" s="431"/>
      <c r="O173" s="432"/>
      <c r="P173" s="432"/>
      <c r="Q173" s="434"/>
      <c r="R173" s="449"/>
      <c r="S173" s="433"/>
      <c r="T173" s="526"/>
    </row>
    <row r="174" spans="11:14" ht="12.75">
      <c r="K174" s="5"/>
      <c r="L174" s="5"/>
      <c r="M174" s="5"/>
      <c r="N174" s="5"/>
    </row>
    <row r="175" spans="1:20" ht="216.75">
      <c r="A175" s="435"/>
      <c r="B175" s="436"/>
      <c r="C175" s="436"/>
      <c r="D175" s="436"/>
      <c r="E175" s="436"/>
      <c r="F175" s="436"/>
      <c r="G175" s="436"/>
      <c r="H175" s="436"/>
      <c r="I175" s="436"/>
      <c r="J175" s="618"/>
      <c r="K175" s="455" t="s">
        <v>121</v>
      </c>
      <c r="L175" s="423" t="s">
        <v>42</v>
      </c>
      <c r="M175" s="423" t="s">
        <v>502</v>
      </c>
      <c r="N175" s="370" t="s">
        <v>171</v>
      </c>
      <c r="O175" s="424" t="s">
        <v>503</v>
      </c>
      <c r="P175" s="423" t="s">
        <v>502</v>
      </c>
      <c r="Q175" s="423" t="s">
        <v>502</v>
      </c>
      <c r="R175" s="452" t="s">
        <v>584</v>
      </c>
      <c r="S175" s="448" t="s">
        <v>504</v>
      </c>
      <c r="T175" s="380"/>
    </row>
    <row r="176" spans="1:20" ht="127.5">
      <c r="A176" s="435"/>
      <c r="B176" s="436"/>
      <c r="C176" s="436"/>
      <c r="D176" s="436"/>
      <c r="E176" s="436"/>
      <c r="F176" s="436"/>
      <c r="G176" s="436"/>
      <c r="H176" s="436"/>
      <c r="I176" s="436"/>
      <c r="J176" s="619" t="s">
        <v>567</v>
      </c>
      <c r="K176" s="622" t="s">
        <v>123</v>
      </c>
      <c r="L176" s="617" t="str">
        <f>L202</f>
        <v>Наличие/получение  высшего профессионального образования в области дефектологии</v>
      </c>
      <c r="M176" s="617" t="str">
        <f aca="true" t="shared" si="2" ref="M176:S176">M202</f>
        <v> ---</v>
      </c>
      <c r="N176" s="617" t="str">
        <f t="shared" si="2"/>
        <v>Получить  высшее профессиональное образование в области дефектологии</v>
      </c>
      <c r="O176" s="617" t="str">
        <f t="shared" si="2"/>
        <v> 2) если у педагога нет высшего образования в области дефектологии</v>
      </c>
      <c r="P176" s="617" t="str">
        <f t="shared" si="2"/>
        <v> ---</v>
      </c>
      <c r="Q176" s="617" t="str">
        <f t="shared" si="2"/>
        <v> ---</v>
      </c>
      <c r="R176" s="617" t="str">
        <f t="shared" si="2"/>
        <v>Учитель-дефектолог, учитель-логопед (логопед) *</v>
      </c>
      <c r="S176" s="617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0"/>
    </row>
    <row r="177" spans="1:20" ht="51">
      <c r="A177" s="435"/>
      <c r="B177" s="436"/>
      <c r="C177" s="436"/>
      <c r="D177" s="436"/>
      <c r="E177" s="436"/>
      <c r="F177" s="436"/>
      <c r="G177" s="436"/>
      <c r="H177" s="436"/>
      <c r="I177" s="436"/>
      <c r="J177" s="618"/>
      <c r="K177" s="455" t="s">
        <v>125</v>
      </c>
      <c r="L177" s="423" t="s">
        <v>575</v>
      </c>
      <c r="M177" s="423" t="s">
        <v>502</v>
      </c>
      <c r="N177" s="370" t="s">
        <v>572</v>
      </c>
      <c r="O177" s="424" t="s">
        <v>571</v>
      </c>
      <c r="P177" s="423" t="s">
        <v>502</v>
      </c>
      <c r="Q177" s="423" t="s">
        <v>502</v>
      </c>
      <c r="R177" s="452" t="s">
        <v>574</v>
      </c>
      <c r="S177" s="448" t="s">
        <v>573</v>
      </c>
      <c r="T177" s="380"/>
    </row>
    <row r="178" spans="1:20" ht="180">
      <c r="A178" s="435"/>
      <c r="B178" s="436"/>
      <c r="C178" s="436"/>
      <c r="D178" s="436"/>
      <c r="E178" s="436"/>
      <c r="F178" s="436"/>
      <c r="G178" s="436"/>
      <c r="H178" s="436"/>
      <c r="I178" s="436"/>
      <c r="J178" s="618"/>
      <c r="K178" s="455" t="s">
        <v>127</v>
      </c>
      <c r="L178" s="423" t="s">
        <v>559</v>
      </c>
      <c r="M178" s="423" t="s">
        <v>502</v>
      </c>
      <c r="N178" s="370" t="s">
        <v>560</v>
      </c>
      <c r="O178" s="424" t="s">
        <v>561</v>
      </c>
      <c r="P178" s="423" t="s">
        <v>502</v>
      </c>
      <c r="Q178" s="423" t="s">
        <v>502</v>
      </c>
      <c r="R178" s="452" t="s">
        <v>562</v>
      </c>
      <c r="S178" s="448" t="s">
        <v>563</v>
      </c>
      <c r="T178" s="380"/>
    </row>
    <row r="179" spans="1:20" ht="180">
      <c r="A179" s="435"/>
      <c r="B179" s="436"/>
      <c r="C179" s="436"/>
      <c r="D179" s="436"/>
      <c r="E179" s="436"/>
      <c r="F179" s="436"/>
      <c r="G179" s="436"/>
      <c r="H179" s="436"/>
      <c r="I179" s="436"/>
      <c r="J179" s="618"/>
      <c r="K179" s="455" t="s">
        <v>129</v>
      </c>
      <c r="L179" s="423" t="s">
        <v>580</v>
      </c>
      <c r="M179" s="423" t="s">
        <v>502</v>
      </c>
      <c r="N179" s="370" t="s">
        <v>577</v>
      </c>
      <c r="O179" s="424" t="s">
        <v>576</v>
      </c>
      <c r="P179" s="423" t="s">
        <v>502</v>
      </c>
      <c r="Q179" s="423" t="s">
        <v>502</v>
      </c>
      <c r="R179" s="452" t="s">
        <v>579</v>
      </c>
      <c r="S179" s="448" t="s">
        <v>578</v>
      </c>
      <c r="T179" s="380"/>
    </row>
    <row r="180" spans="1:20" ht="89.25">
      <c r="A180" s="435"/>
      <c r="B180" s="436"/>
      <c r="C180" s="436"/>
      <c r="D180" s="436"/>
      <c r="E180" s="436"/>
      <c r="F180" s="436"/>
      <c r="G180" s="436"/>
      <c r="H180" s="436"/>
      <c r="I180" s="436"/>
      <c r="J180" s="618"/>
      <c r="K180" s="455" t="s">
        <v>131</v>
      </c>
      <c r="L180" s="423" t="s">
        <v>616</v>
      </c>
      <c r="M180" s="423" t="s">
        <v>502</v>
      </c>
      <c r="N180" s="370" t="s">
        <v>618</v>
      </c>
      <c r="O180" s="424" t="s">
        <v>617</v>
      </c>
      <c r="P180" s="423" t="s">
        <v>502</v>
      </c>
      <c r="Q180" s="423" t="s">
        <v>502</v>
      </c>
      <c r="R180" s="452" t="s">
        <v>593</v>
      </c>
      <c r="S180" s="448" t="s">
        <v>619</v>
      </c>
      <c r="T180" s="380"/>
    </row>
    <row r="181" spans="1:20" ht="127.5">
      <c r="A181" s="435"/>
      <c r="B181" s="436"/>
      <c r="C181" s="436"/>
      <c r="D181" s="436"/>
      <c r="E181" s="436"/>
      <c r="F181" s="436"/>
      <c r="G181" s="436"/>
      <c r="H181" s="436"/>
      <c r="I181" s="436"/>
      <c r="J181" s="619" t="s">
        <v>567</v>
      </c>
      <c r="K181" s="621" t="s">
        <v>133</v>
      </c>
      <c r="L181" s="617" t="str">
        <f>L202</f>
        <v>Наличие/получение  высшего профессионального образования в области дефектологии</v>
      </c>
      <c r="M181" s="617" t="str">
        <f aca="true" t="shared" si="3" ref="M181:S181">M202</f>
        <v> ---</v>
      </c>
      <c r="N181" s="617" t="str">
        <f t="shared" si="3"/>
        <v>Получить  высшее профессиональное образование в области дефектологии</v>
      </c>
      <c r="O181" s="617" t="str">
        <f t="shared" si="3"/>
        <v> 2) если у педагога нет высшего образования в области дефектологии</v>
      </c>
      <c r="P181" s="617" t="str">
        <f t="shared" si="3"/>
        <v> ---</v>
      </c>
      <c r="Q181" s="617" t="str">
        <f t="shared" si="3"/>
        <v> ---</v>
      </c>
      <c r="R181" s="617" t="str">
        <f t="shared" si="3"/>
        <v>Учитель-дефектолог, учитель-логопед (логопед) *</v>
      </c>
      <c r="S181" s="617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0"/>
    </row>
    <row r="182" spans="1:20" ht="191.25">
      <c r="A182" s="437"/>
      <c r="B182" s="437"/>
      <c r="C182" s="437"/>
      <c r="D182" s="437"/>
      <c r="E182" s="437"/>
      <c r="F182" s="437"/>
      <c r="G182" s="437"/>
      <c r="H182" s="437"/>
      <c r="I182" s="436"/>
      <c r="J182" s="618"/>
      <c r="K182" s="455" t="s">
        <v>135</v>
      </c>
      <c r="L182" s="423" t="s">
        <v>483</v>
      </c>
      <c r="M182" s="423" t="s">
        <v>484</v>
      </c>
      <c r="N182" s="370" t="s">
        <v>171</v>
      </c>
      <c r="O182" s="424" t="s">
        <v>485</v>
      </c>
      <c r="P182" s="370" t="s">
        <v>486</v>
      </c>
      <c r="Q182" s="423" t="s">
        <v>502</v>
      </c>
      <c r="R182" s="452" t="s">
        <v>601</v>
      </c>
      <c r="S182" s="448" t="s">
        <v>488</v>
      </c>
      <c r="T182" s="380"/>
    </row>
    <row r="183" spans="1:20" ht="90">
      <c r="A183" s="435"/>
      <c r="B183" s="436"/>
      <c r="C183" s="436"/>
      <c r="D183" s="436"/>
      <c r="E183" s="436"/>
      <c r="F183" s="436"/>
      <c r="G183" s="436"/>
      <c r="H183" s="436"/>
      <c r="I183" s="436"/>
      <c r="J183" s="624" t="s">
        <v>608</v>
      </c>
      <c r="K183" s="455" t="s">
        <v>136</v>
      </c>
      <c r="L183" s="423" t="s">
        <v>606</v>
      </c>
      <c r="M183" s="423" t="s">
        <v>502</v>
      </c>
      <c r="N183" s="370" t="s">
        <v>605</v>
      </c>
      <c r="O183" s="424" t="s">
        <v>604</v>
      </c>
      <c r="P183" s="423" t="s">
        <v>502</v>
      </c>
      <c r="Q183" s="423" t="s">
        <v>502</v>
      </c>
      <c r="R183" s="452" t="s">
        <v>595</v>
      </c>
      <c r="S183" s="448" t="s">
        <v>596</v>
      </c>
      <c r="T183" s="380"/>
    </row>
    <row r="184" spans="1:20" ht="114.75">
      <c r="A184" s="435"/>
      <c r="B184" s="436"/>
      <c r="C184" s="436"/>
      <c r="D184" s="436"/>
      <c r="E184" s="436"/>
      <c r="F184" s="436"/>
      <c r="G184" s="436"/>
      <c r="H184" s="436"/>
      <c r="I184" s="436"/>
      <c r="J184" s="618"/>
      <c r="K184" s="455" t="s">
        <v>138</v>
      </c>
      <c r="L184" s="423" t="s">
        <v>42</v>
      </c>
      <c r="M184" s="423" t="s">
        <v>536</v>
      </c>
      <c r="N184" s="370" t="s">
        <v>645</v>
      </c>
      <c r="O184" s="424" t="s">
        <v>537</v>
      </c>
      <c r="P184" s="370" t="s">
        <v>538</v>
      </c>
      <c r="Q184" s="424" t="s">
        <v>539</v>
      </c>
      <c r="R184" s="452" t="s">
        <v>540</v>
      </c>
      <c r="S184" s="448" t="s">
        <v>541</v>
      </c>
      <c r="T184" s="380"/>
    </row>
    <row r="185" spans="1:20" ht="236.25">
      <c r="A185" s="435"/>
      <c r="B185" s="436"/>
      <c r="C185" s="436"/>
      <c r="D185" s="436"/>
      <c r="E185" s="436"/>
      <c r="F185" s="436"/>
      <c r="G185" s="436"/>
      <c r="H185" s="436"/>
      <c r="I185" s="436"/>
      <c r="J185" s="618"/>
      <c r="K185" s="455" t="s">
        <v>141</v>
      </c>
      <c r="L185" s="423" t="s">
        <v>612</v>
      </c>
      <c r="M185" s="423" t="s">
        <v>613</v>
      </c>
      <c r="N185" s="370" t="s">
        <v>615</v>
      </c>
      <c r="O185" s="424" t="s">
        <v>614</v>
      </c>
      <c r="P185" s="423" t="s">
        <v>502</v>
      </c>
      <c r="Q185" s="423" t="s">
        <v>502</v>
      </c>
      <c r="R185" s="452" t="s">
        <v>591</v>
      </c>
      <c r="S185" s="448" t="s">
        <v>592</v>
      </c>
      <c r="T185" s="380"/>
    </row>
    <row r="186" spans="1:20" ht="127.5">
      <c r="A186" s="435"/>
      <c r="B186" s="436"/>
      <c r="C186" s="436"/>
      <c r="D186" s="436"/>
      <c r="E186" s="436"/>
      <c r="F186" s="436"/>
      <c r="G186" s="436"/>
      <c r="H186" s="436"/>
      <c r="I186" s="436"/>
      <c r="J186" s="618"/>
      <c r="K186" s="455" t="s">
        <v>322</v>
      </c>
      <c r="L186" s="423" t="s">
        <v>628</v>
      </c>
      <c r="M186" s="423" t="s">
        <v>502</v>
      </c>
      <c r="N186" s="370" t="s">
        <v>629</v>
      </c>
      <c r="O186" s="424" t="s">
        <v>627</v>
      </c>
      <c r="P186" s="423" t="s">
        <v>502</v>
      </c>
      <c r="Q186" s="423" t="s">
        <v>502</v>
      </c>
      <c r="R186" s="452" t="s">
        <v>588</v>
      </c>
      <c r="S186" s="448" t="s">
        <v>589</v>
      </c>
      <c r="T186" s="380"/>
    </row>
    <row r="187" spans="1:256" ht="180">
      <c r="A187" s="435"/>
      <c r="B187" s="436"/>
      <c r="C187" s="436"/>
      <c r="D187" s="436"/>
      <c r="E187" s="436"/>
      <c r="F187" s="436"/>
      <c r="G187" s="436"/>
      <c r="H187" s="436"/>
      <c r="I187" s="436"/>
      <c r="J187" s="618"/>
      <c r="K187" s="455" t="s">
        <v>143</v>
      </c>
      <c r="L187" s="423" t="s">
        <v>42</v>
      </c>
      <c r="M187" s="423" t="s">
        <v>553</v>
      </c>
      <c r="N187" s="370" t="s">
        <v>171</v>
      </c>
      <c r="O187" s="424" t="s">
        <v>549</v>
      </c>
      <c r="P187" s="423" t="s">
        <v>502</v>
      </c>
      <c r="Q187" s="423" t="s">
        <v>502</v>
      </c>
      <c r="R187" s="452" t="s">
        <v>551</v>
      </c>
      <c r="S187" s="448" t="s">
        <v>552</v>
      </c>
      <c r="T187" s="380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>
      <c r="A188" s="435"/>
      <c r="B188" s="436"/>
      <c r="C188" s="436"/>
      <c r="D188" s="436"/>
      <c r="E188" s="436"/>
      <c r="F188" s="436"/>
      <c r="G188" s="436"/>
      <c r="H188" s="438"/>
      <c r="I188" s="438"/>
      <c r="J188" s="618"/>
      <c r="K188" s="455" t="s">
        <v>145</v>
      </c>
      <c r="L188" s="423" t="s">
        <v>558</v>
      </c>
      <c r="M188" s="423" t="s">
        <v>502</v>
      </c>
      <c r="N188" s="370" t="s">
        <v>555</v>
      </c>
      <c r="O188" s="424" t="s">
        <v>554</v>
      </c>
      <c r="P188" s="370"/>
      <c r="Q188" s="424"/>
      <c r="R188" s="452" t="s">
        <v>556</v>
      </c>
      <c r="S188" s="448" t="s">
        <v>557</v>
      </c>
      <c r="T188" s="380"/>
    </row>
    <row r="189" spans="1:20" ht="191.25">
      <c r="A189" s="435"/>
      <c r="B189" s="436"/>
      <c r="C189" s="436"/>
      <c r="D189" s="436"/>
      <c r="E189" s="436"/>
      <c r="F189" s="436"/>
      <c r="G189" s="436"/>
      <c r="H189" s="438"/>
      <c r="I189" s="438"/>
      <c r="J189" s="619" t="s">
        <v>568</v>
      </c>
      <c r="K189" s="455" t="s">
        <v>147</v>
      </c>
      <c r="L189" s="423" t="s">
        <v>42</v>
      </c>
      <c r="M189" s="423" t="s">
        <v>44</v>
      </c>
      <c r="N189" s="370" t="s">
        <v>171</v>
      </c>
      <c r="O189" s="424" t="s">
        <v>550</v>
      </c>
      <c r="P189" s="423" t="s">
        <v>502</v>
      </c>
      <c r="Q189" s="423" t="s">
        <v>502</v>
      </c>
      <c r="R189" s="452" t="s">
        <v>602</v>
      </c>
      <c r="S189" s="448" t="s">
        <v>487</v>
      </c>
      <c r="T189" s="380"/>
    </row>
    <row r="190" spans="1:20" ht="178.5">
      <c r="A190" s="435"/>
      <c r="B190" s="436"/>
      <c r="C190" s="436"/>
      <c r="D190" s="436"/>
      <c r="E190" s="436"/>
      <c r="F190" s="436"/>
      <c r="G190" s="436"/>
      <c r="H190" s="438"/>
      <c r="I190" s="438"/>
      <c r="J190" s="618"/>
      <c r="K190" s="455" t="s">
        <v>494</v>
      </c>
      <c r="L190" s="423"/>
      <c r="M190" s="423"/>
      <c r="N190" s="370"/>
      <c r="O190" s="424"/>
      <c r="P190" s="370"/>
      <c r="Q190" s="424"/>
      <c r="R190" s="452" t="s">
        <v>597</v>
      </c>
      <c r="S190" s="448" t="s">
        <v>598</v>
      </c>
      <c r="T190" s="380"/>
    </row>
    <row r="191" spans="1:20" ht="236.25">
      <c r="A191" s="435"/>
      <c r="B191" s="436"/>
      <c r="C191" s="436"/>
      <c r="D191" s="436"/>
      <c r="E191" s="436"/>
      <c r="F191" s="436"/>
      <c r="G191" s="436"/>
      <c r="H191" s="438"/>
      <c r="I191" s="438"/>
      <c r="J191" s="618"/>
      <c r="K191" s="455" t="s">
        <v>320</v>
      </c>
      <c r="L191" s="423" t="s">
        <v>620</v>
      </c>
      <c r="M191" s="423" t="s">
        <v>502</v>
      </c>
      <c r="N191" s="370" t="s">
        <v>560</v>
      </c>
      <c r="O191" s="424" t="s">
        <v>625</v>
      </c>
      <c r="P191" s="423" t="s">
        <v>502</v>
      </c>
      <c r="Q191" s="423" t="s">
        <v>502</v>
      </c>
      <c r="R191" s="452" t="s">
        <v>594</v>
      </c>
      <c r="S191" s="448" t="s">
        <v>621</v>
      </c>
      <c r="T191" s="380"/>
    </row>
    <row r="192" spans="1:20" ht="127.5">
      <c r="A192" s="435"/>
      <c r="B192" s="436"/>
      <c r="C192" s="436"/>
      <c r="D192" s="436"/>
      <c r="E192" s="436"/>
      <c r="F192" s="436"/>
      <c r="G192" s="436"/>
      <c r="H192" s="438"/>
      <c r="I192" s="438"/>
      <c r="J192" s="618"/>
      <c r="K192" s="455" t="s">
        <v>150</v>
      </c>
      <c r="L192" s="423" t="s">
        <v>622</v>
      </c>
      <c r="M192" s="625" t="s">
        <v>626</v>
      </c>
      <c r="N192" s="370" t="s">
        <v>624</v>
      </c>
      <c r="O192" s="424" t="s">
        <v>623</v>
      </c>
      <c r="P192" s="370"/>
      <c r="Q192" s="424"/>
      <c r="R192" s="452" t="s">
        <v>585</v>
      </c>
      <c r="S192" s="448" t="s">
        <v>582</v>
      </c>
      <c r="T192" s="380"/>
    </row>
    <row r="193" spans="1:20" ht="38.25">
      <c r="A193" s="435"/>
      <c r="B193" s="436"/>
      <c r="C193" s="436"/>
      <c r="D193" s="436"/>
      <c r="E193" s="436"/>
      <c r="F193" s="436"/>
      <c r="G193" s="436"/>
      <c r="H193" s="438"/>
      <c r="I193" s="438"/>
      <c r="J193" s="618"/>
      <c r="K193" s="455" t="s">
        <v>152</v>
      </c>
      <c r="L193" s="423"/>
      <c r="M193" s="423"/>
      <c r="N193" s="370"/>
      <c r="O193" s="424"/>
      <c r="P193" s="370"/>
      <c r="Q193" s="424"/>
      <c r="R193" s="452" t="s">
        <v>590</v>
      </c>
      <c r="S193" s="448" t="s">
        <v>573</v>
      </c>
      <c r="T193" s="380"/>
    </row>
    <row r="194" spans="1:20" ht="216.75">
      <c r="A194" s="435"/>
      <c r="B194" s="436"/>
      <c r="C194" s="436"/>
      <c r="D194" s="436"/>
      <c r="E194" s="436"/>
      <c r="F194" s="436"/>
      <c r="G194" s="436"/>
      <c r="H194" s="438"/>
      <c r="I194" s="438"/>
      <c r="J194" s="624" t="s">
        <v>607</v>
      </c>
      <c r="K194" s="623" t="s">
        <v>154</v>
      </c>
      <c r="L194" s="423" t="s">
        <v>606</v>
      </c>
      <c r="M194" s="423" t="s">
        <v>502</v>
      </c>
      <c r="N194" s="370" t="s">
        <v>605</v>
      </c>
      <c r="O194" s="424" t="s">
        <v>604</v>
      </c>
      <c r="P194" s="423" t="s">
        <v>502</v>
      </c>
      <c r="Q194" s="423" t="s">
        <v>502</v>
      </c>
      <c r="R194" s="452" t="s">
        <v>584</v>
      </c>
      <c r="S194" s="448" t="s">
        <v>504</v>
      </c>
      <c r="T194" s="380"/>
    </row>
    <row r="195" spans="1:20" ht="45">
      <c r="A195" s="435"/>
      <c r="B195" s="436"/>
      <c r="C195" s="436"/>
      <c r="D195" s="436"/>
      <c r="E195" s="436"/>
      <c r="F195" s="436"/>
      <c r="G195" s="436"/>
      <c r="H195" s="438"/>
      <c r="I195" s="438"/>
      <c r="J195" s="618"/>
      <c r="K195" s="623" t="s">
        <v>324</v>
      </c>
      <c r="L195" s="423" t="s">
        <v>634</v>
      </c>
      <c r="M195" s="423"/>
      <c r="N195" s="370"/>
      <c r="O195" s="424"/>
      <c r="P195" s="370"/>
      <c r="Q195" s="424"/>
      <c r="R195" s="452"/>
      <c r="S195" s="448"/>
      <c r="T195" s="380"/>
    </row>
    <row r="196" spans="1:20" ht="22.5">
      <c r="A196" s="435"/>
      <c r="B196" s="436"/>
      <c r="C196" s="436"/>
      <c r="D196" s="436"/>
      <c r="E196" s="436"/>
      <c r="F196" s="436"/>
      <c r="G196" s="436"/>
      <c r="H196" s="438"/>
      <c r="I196" s="438"/>
      <c r="J196" s="618"/>
      <c r="K196" s="623" t="s">
        <v>315</v>
      </c>
      <c r="L196" s="423" t="s">
        <v>635</v>
      </c>
      <c r="M196" s="423"/>
      <c r="N196" s="370"/>
      <c r="O196" s="424"/>
      <c r="P196" s="370"/>
      <c r="Q196" s="424"/>
      <c r="R196" s="452"/>
      <c r="S196" s="448"/>
      <c r="T196" s="380"/>
    </row>
    <row r="197" spans="1:20" ht="67.5">
      <c r="A197" s="435"/>
      <c r="B197" s="436"/>
      <c r="C197" s="436"/>
      <c r="D197" s="436"/>
      <c r="E197" s="436"/>
      <c r="F197" s="436"/>
      <c r="G197" s="436"/>
      <c r="H197" s="438"/>
      <c r="I197" s="438"/>
      <c r="J197" s="618"/>
      <c r="K197" s="623" t="s">
        <v>317</v>
      </c>
      <c r="L197" s="423" t="s">
        <v>636</v>
      </c>
      <c r="M197" s="423"/>
      <c r="N197" s="370"/>
      <c r="O197" s="424"/>
      <c r="P197" s="370"/>
      <c r="Q197" s="424"/>
      <c r="R197" s="452"/>
      <c r="S197" s="448"/>
      <c r="T197" s="380"/>
    </row>
    <row r="198" spans="1:20" ht="45">
      <c r="A198" s="435"/>
      <c r="B198" s="436"/>
      <c r="C198" s="436"/>
      <c r="D198" s="436"/>
      <c r="E198" s="436"/>
      <c r="F198" s="436"/>
      <c r="G198" s="436"/>
      <c r="H198" s="438"/>
      <c r="I198" s="438"/>
      <c r="J198" s="618"/>
      <c r="K198" s="623" t="s">
        <v>314</v>
      </c>
      <c r="L198" s="423" t="s">
        <v>637</v>
      </c>
      <c r="M198" s="423"/>
      <c r="N198" s="370"/>
      <c r="O198" s="424"/>
      <c r="P198" s="370"/>
      <c r="Q198" s="424"/>
      <c r="R198" s="452"/>
      <c r="S198" s="448"/>
      <c r="T198" s="380"/>
    </row>
    <row r="199" spans="1:20" ht="180">
      <c r="A199" s="435"/>
      <c r="B199" s="436"/>
      <c r="C199" s="436"/>
      <c r="D199" s="436"/>
      <c r="E199" s="436"/>
      <c r="F199" s="436"/>
      <c r="G199" s="436"/>
      <c r="H199" s="438"/>
      <c r="I199" s="438"/>
      <c r="J199" s="618"/>
      <c r="K199" s="455" t="s">
        <v>158</v>
      </c>
      <c r="L199" s="423" t="s">
        <v>631</v>
      </c>
      <c r="M199" s="423" t="s">
        <v>502</v>
      </c>
      <c r="N199" s="370" t="s">
        <v>633</v>
      </c>
      <c r="O199" s="424" t="s">
        <v>632</v>
      </c>
      <c r="P199" s="423" t="s">
        <v>502</v>
      </c>
      <c r="Q199" s="423" t="s">
        <v>502</v>
      </c>
      <c r="R199" s="452" t="s">
        <v>599</v>
      </c>
      <c r="S199" s="448" t="s">
        <v>600</v>
      </c>
      <c r="T199" s="380"/>
    </row>
    <row r="200" spans="1:20" ht="89.25">
      <c r="A200" s="435"/>
      <c r="B200" s="436"/>
      <c r="C200" s="436"/>
      <c r="D200" s="436"/>
      <c r="E200" s="436"/>
      <c r="F200" s="436"/>
      <c r="G200" s="436"/>
      <c r="H200" s="438"/>
      <c r="I200" s="438"/>
      <c r="J200" s="618"/>
      <c r="K200" s="455" t="s">
        <v>326</v>
      </c>
      <c r="L200" s="423" t="s">
        <v>609</v>
      </c>
      <c r="M200" s="423" t="s">
        <v>502</v>
      </c>
      <c r="N200" s="370" t="s">
        <v>611</v>
      </c>
      <c r="O200" s="424" t="s">
        <v>610</v>
      </c>
      <c r="P200" s="423" t="s">
        <v>502</v>
      </c>
      <c r="Q200" s="423" t="s">
        <v>502</v>
      </c>
      <c r="R200" s="452" t="s">
        <v>587</v>
      </c>
      <c r="S200" s="448" t="s">
        <v>586</v>
      </c>
      <c r="T200" s="380"/>
    </row>
    <row r="201" spans="1:20" ht="191.25">
      <c r="A201" s="435"/>
      <c r="B201" s="436"/>
      <c r="C201" s="436"/>
      <c r="D201" s="436"/>
      <c r="E201" s="436"/>
      <c r="F201" s="436"/>
      <c r="G201" s="436"/>
      <c r="H201" s="438"/>
      <c r="I201" s="438"/>
      <c r="J201" s="619" t="s">
        <v>603</v>
      </c>
      <c r="K201" s="455" t="s">
        <v>13</v>
      </c>
      <c r="L201" s="423" t="s">
        <v>42</v>
      </c>
      <c r="M201" s="423" t="s">
        <v>44</v>
      </c>
      <c r="N201" s="370" t="s">
        <v>171</v>
      </c>
      <c r="O201" s="424" t="s">
        <v>550</v>
      </c>
      <c r="P201" s="423" t="s">
        <v>502</v>
      </c>
      <c r="Q201" s="423" t="s">
        <v>502</v>
      </c>
      <c r="R201" s="452" t="s">
        <v>602</v>
      </c>
      <c r="S201" s="448" t="s">
        <v>487</v>
      </c>
      <c r="T201" s="380"/>
    </row>
    <row r="202" spans="1:20" ht="127.5">
      <c r="A202" s="435"/>
      <c r="B202" s="436"/>
      <c r="C202" s="436"/>
      <c r="D202" s="436"/>
      <c r="E202" s="436"/>
      <c r="F202" s="436"/>
      <c r="G202" s="436"/>
      <c r="H202" s="438"/>
      <c r="I202" s="438"/>
      <c r="J202" s="618"/>
      <c r="K202" s="616" t="s">
        <v>160</v>
      </c>
      <c r="L202" s="423" t="s">
        <v>548</v>
      </c>
      <c r="M202" s="423" t="s">
        <v>502</v>
      </c>
      <c r="N202" s="370" t="s">
        <v>547</v>
      </c>
      <c r="O202" s="424" t="s">
        <v>546</v>
      </c>
      <c r="P202" s="423" t="s">
        <v>502</v>
      </c>
      <c r="Q202" s="423" t="s">
        <v>502</v>
      </c>
      <c r="R202" s="452" t="s">
        <v>583</v>
      </c>
      <c r="S202" s="448" t="s">
        <v>545</v>
      </c>
      <c r="T202" s="380"/>
    </row>
    <row r="203" spans="1:20" ht="127.5">
      <c r="A203" s="435"/>
      <c r="B203" s="436"/>
      <c r="C203" s="436"/>
      <c r="D203" s="436"/>
      <c r="E203" s="436"/>
      <c r="F203" s="436"/>
      <c r="G203" s="436"/>
      <c r="H203" s="438"/>
      <c r="I203" s="438"/>
      <c r="J203" s="619" t="s">
        <v>567</v>
      </c>
      <c r="K203" s="616" t="s">
        <v>162</v>
      </c>
      <c r="L203" s="617" t="str">
        <f>L202</f>
        <v>Наличие/получение  высшего профессионального образования в области дефектологии</v>
      </c>
      <c r="M203" s="617" t="str">
        <f aca="true" t="shared" si="4" ref="M203:S203">M202</f>
        <v> ---</v>
      </c>
      <c r="N203" s="617" t="str">
        <f t="shared" si="4"/>
        <v>Получить  высшее профессиональное образование в области дефектологии</v>
      </c>
      <c r="O203" s="617" t="str">
        <f t="shared" si="4"/>
        <v> 2) если у педагога нет высшего образования в области дефектологии</v>
      </c>
      <c r="P203" s="617" t="str">
        <f t="shared" si="4"/>
        <v> ---</v>
      </c>
      <c r="Q203" s="617" t="str">
        <f t="shared" si="4"/>
        <v> ---</v>
      </c>
      <c r="R203" s="617" t="str">
        <f t="shared" si="4"/>
        <v>Учитель-дефектолог, учитель-логопед (логопед) *</v>
      </c>
      <c r="S203" s="617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0"/>
    </row>
    <row r="204" spans="1:20" ht="22.5">
      <c r="A204" s="435"/>
      <c r="B204" s="436"/>
      <c r="C204" s="436"/>
      <c r="D204" s="436"/>
      <c r="E204" s="436"/>
      <c r="F204" s="436"/>
      <c r="G204" s="436"/>
      <c r="H204" s="438"/>
      <c r="I204" s="438"/>
      <c r="J204" s="618"/>
      <c r="K204" s="621" t="s">
        <v>318</v>
      </c>
      <c r="L204" s="423" t="s">
        <v>630</v>
      </c>
      <c r="M204" s="423"/>
      <c r="N204" s="370"/>
      <c r="O204" s="424"/>
      <c r="P204" s="370"/>
      <c r="Q204" s="424"/>
      <c r="R204" s="452"/>
      <c r="S204" s="448"/>
      <c r="T204" s="380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1"/>
      <c r="L205" s="451"/>
      <c r="M205" s="451"/>
      <c r="N205" s="451"/>
      <c r="O205" s="451"/>
      <c r="P205" s="451"/>
      <c r="Q205" s="451"/>
      <c r="R205" s="451"/>
      <c r="S205" s="451"/>
      <c r="T205" s="380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0"/>
    </row>
    <row r="207" spans="13:20" ht="12.75">
      <c r="M207" s="5"/>
      <c r="N207" s="5"/>
      <c r="T207" s="380"/>
    </row>
    <row r="208" spans="13:20" ht="12.75">
      <c r="M208" s="5"/>
      <c r="N208" s="5"/>
      <c r="T208" s="380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0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0"/>
    </row>
    <row r="211" spans="13:20" ht="12.75">
      <c r="M211" s="5"/>
      <c r="N211" s="5"/>
      <c r="T211" s="380"/>
    </row>
    <row r="212" spans="13:20" ht="12.75">
      <c r="M212" s="5"/>
      <c r="N212" s="5"/>
      <c r="T212" s="380"/>
    </row>
    <row r="213" spans="13:20" ht="12.75">
      <c r="M213" s="5"/>
      <c r="N213" s="5"/>
      <c r="T213" s="380"/>
    </row>
    <row r="214" spans="13:20" ht="12.75">
      <c r="M214" s="5"/>
      <c r="N214" s="5"/>
      <c r="T214" s="380"/>
    </row>
    <row r="215" spans="13:20" ht="12.75">
      <c r="M215" s="5"/>
      <c r="N215" s="5"/>
      <c r="T215" s="380"/>
    </row>
    <row r="216" spans="13:20" ht="12.75">
      <c r="M216" s="5"/>
      <c r="N216" s="5"/>
      <c r="T216" s="380"/>
    </row>
    <row r="217" spans="13:20" ht="12.75">
      <c r="M217" s="5"/>
      <c r="N217" s="5"/>
      <c r="T217" s="380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A19:I19"/>
    <mergeCell ref="B35:I35"/>
    <mergeCell ref="B27:F27"/>
    <mergeCell ref="H5:J7"/>
    <mergeCell ref="B36:I36"/>
    <mergeCell ref="A31:B31"/>
    <mergeCell ref="C31:I31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6 C114 C112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1:I32 C34:I34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8:J59 B54:J55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"инструктор по труду,"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0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7"/>
      <c r="Y1" s="236"/>
      <c r="Z1" s="237"/>
      <c r="AA1" s="225"/>
      <c r="AB1" s="225" t="s">
        <v>178</v>
      </c>
      <c r="AC1" s="238" t="s">
        <v>179</v>
      </c>
      <c r="AE1" s="191"/>
      <c r="AF1" s="641" t="s">
        <v>651</v>
      </c>
      <c r="AG1" s="542" t="s">
        <v>524</v>
      </c>
      <c r="AH1" s="542" t="s">
        <v>525</v>
      </c>
    </row>
    <row r="2" spans="24:35" ht="12.75" customHeight="1" hidden="1">
      <c r="X2" s="307"/>
      <c r="Y2" s="346" t="s">
        <v>119</v>
      </c>
      <c r="Z2" s="350"/>
      <c r="AA2" s="340" t="s">
        <v>364</v>
      </c>
      <c r="AB2" s="228"/>
      <c r="AC2" s="229">
        <f>LEN(AA2)</f>
        <v>8</v>
      </c>
      <c r="AE2" s="334" t="s">
        <v>120</v>
      </c>
      <c r="AF2" s="642"/>
      <c r="AG2" s="542"/>
      <c r="AH2" s="643"/>
      <c r="AI2" s="5" t="s">
        <v>119</v>
      </c>
    </row>
    <row r="3" spans="24:35" ht="12.75" hidden="1">
      <c r="X3" s="307"/>
      <c r="Y3" s="347" t="s">
        <v>121</v>
      </c>
      <c r="Z3" s="351" t="s">
        <v>140</v>
      </c>
      <c r="AA3" s="340" t="s">
        <v>365</v>
      </c>
      <c r="AB3" s="228"/>
      <c r="AC3" s="229">
        <f aca="true" t="shared" si="0" ref="AC3:AC33">LEN(AA3)</f>
        <v>11</v>
      </c>
      <c r="AE3" s="334" t="s">
        <v>122</v>
      </c>
      <c r="AF3" s="642"/>
      <c r="AG3" s="542"/>
      <c r="AH3" s="643"/>
      <c r="AI3" s="5" t="s">
        <v>121</v>
      </c>
    </row>
    <row r="4" spans="24:35" ht="12.75" hidden="1">
      <c r="X4" s="307"/>
      <c r="Y4" s="348" t="s">
        <v>123</v>
      </c>
      <c r="Z4" s="352"/>
      <c r="AA4" s="340" t="s">
        <v>366</v>
      </c>
      <c r="AB4" s="228"/>
      <c r="AC4" s="229">
        <f t="shared" si="0"/>
        <v>11</v>
      </c>
      <c r="AE4" s="334" t="s">
        <v>124</v>
      </c>
      <c r="AF4" s="642"/>
      <c r="AG4" s="542"/>
      <c r="AH4" s="643"/>
      <c r="AI4" s="5" t="s">
        <v>123</v>
      </c>
    </row>
    <row r="5" spans="24:35" ht="12.75" hidden="1">
      <c r="X5" s="307"/>
      <c r="Y5" s="347" t="s">
        <v>125</v>
      </c>
      <c r="Z5" s="351"/>
      <c r="AA5" s="340" t="s">
        <v>367</v>
      </c>
      <c r="AB5" s="228"/>
      <c r="AC5" s="229">
        <f t="shared" si="0"/>
        <v>20</v>
      </c>
      <c r="AE5" s="334" t="s">
        <v>126</v>
      </c>
      <c r="AF5" s="642">
        <v>10</v>
      </c>
      <c r="AG5" s="542">
        <v>230</v>
      </c>
      <c r="AH5" s="643">
        <v>390</v>
      </c>
      <c r="AI5" s="5" t="s">
        <v>125</v>
      </c>
    </row>
    <row r="6" spans="24:35" ht="12.75" hidden="1">
      <c r="X6" s="307"/>
      <c r="Y6" s="347" t="s">
        <v>127</v>
      </c>
      <c r="Z6" s="351"/>
      <c r="AA6" s="340" t="s">
        <v>566</v>
      </c>
      <c r="AB6" s="228"/>
      <c r="AC6" s="229">
        <f t="shared" si="0"/>
        <v>34</v>
      </c>
      <c r="AE6" s="334" t="s">
        <v>128</v>
      </c>
      <c r="AF6" s="642">
        <v>5</v>
      </c>
      <c r="AG6" s="557">
        <v>210</v>
      </c>
      <c r="AH6" s="558">
        <v>440</v>
      </c>
      <c r="AI6" s="5" t="s">
        <v>127</v>
      </c>
    </row>
    <row r="7" spans="24:35" ht="12.75" hidden="1">
      <c r="X7" s="307"/>
      <c r="Y7" s="347" t="s">
        <v>129</v>
      </c>
      <c r="Z7" s="351"/>
      <c r="AA7" s="340" t="s">
        <v>368</v>
      </c>
      <c r="AB7" s="228"/>
      <c r="AC7" s="229">
        <f t="shared" si="0"/>
        <v>21</v>
      </c>
      <c r="AE7" s="334" t="s">
        <v>130</v>
      </c>
      <c r="AF7" s="642">
        <v>21</v>
      </c>
      <c r="AG7" s="542">
        <v>270</v>
      </c>
      <c r="AH7" s="643">
        <v>460</v>
      </c>
      <c r="AI7" s="5" t="s">
        <v>129</v>
      </c>
    </row>
    <row r="8" spans="24:35" ht="12.75" hidden="1">
      <c r="X8" s="307"/>
      <c r="Y8" s="347" t="s">
        <v>131</v>
      </c>
      <c r="Z8" s="351"/>
      <c r="AA8" s="340" t="s">
        <v>369</v>
      </c>
      <c r="AB8" s="228"/>
      <c r="AC8" s="229">
        <f t="shared" si="0"/>
        <v>15</v>
      </c>
      <c r="AE8" s="334" t="s">
        <v>132</v>
      </c>
      <c r="AF8" s="642">
        <v>18</v>
      </c>
      <c r="AG8" s="542">
        <v>150</v>
      </c>
      <c r="AH8" s="643">
        <v>280</v>
      </c>
      <c r="AI8" s="5" t="s">
        <v>131</v>
      </c>
    </row>
    <row r="9" spans="24:35" ht="12.75" hidden="1">
      <c r="X9" s="307"/>
      <c r="Y9" s="348" t="s">
        <v>133</v>
      </c>
      <c r="Z9" s="352"/>
      <c r="AA9" s="340" t="s">
        <v>370</v>
      </c>
      <c r="AB9" s="228"/>
      <c r="AC9" s="229">
        <f t="shared" si="0"/>
        <v>8</v>
      </c>
      <c r="AE9" s="334" t="s">
        <v>134</v>
      </c>
      <c r="AF9" s="642">
        <v>6</v>
      </c>
      <c r="AG9" s="571">
        <v>260</v>
      </c>
      <c r="AH9" s="572">
        <v>490</v>
      </c>
      <c r="AI9" s="5" t="s">
        <v>133</v>
      </c>
    </row>
    <row r="10" spans="24:35" ht="12.75" hidden="1">
      <c r="X10" s="307"/>
      <c r="Y10" s="347" t="s">
        <v>135</v>
      </c>
      <c r="Z10" s="351"/>
      <c r="AA10" s="340" t="s">
        <v>458</v>
      </c>
      <c r="AB10" s="228"/>
      <c r="AC10" s="229">
        <f t="shared" si="0"/>
        <v>34</v>
      </c>
      <c r="AE10" s="334" t="s">
        <v>459</v>
      </c>
      <c r="AF10" s="642">
        <v>22</v>
      </c>
      <c r="AG10" s="542">
        <v>190</v>
      </c>
      <c r="AH10" s="643">
        <v>340</v>
      </c>
      <c r="AI10" s="5" t="s">
        <v>135</v>
      </c>
    </row>
    <row r="11" spans="24:35" ht="12.75" hidden="1">
      <c r="X11" s="307"/>
      <c r="Y11" s="347" t="s">
        <v>136</v>
      </c>
      <c r="Z11" s="351"/>
      <c r="AA11" s="340" t="s">
        <v>371</v>
      </c>
      <c r="AB11" s="228"/>
      <c r="AC11" s="229">
        <f t="shared" si="0"/>
        <v>9</v>
      </c>
      <c r="AE11" s="334" t="s">
        <v>137</v>
      </c>
      <c r="AF11" s="642">
        <v>13</v>
      </c>
      <c r="AG11" s="542">
        <v>250</v>
      </c>
      <c r="AH11" s="643">
        <v>440</v>
      </c>
      <c r="AI11" s="5" t="s">
        <v>136</v>
      </c>
    </row>
    <row r="12" spans="24:35" ht="12.75" hidden="1">
      <c r="X12" s="307"/>
      <c r="Y12" s="347" t="s">
        <v>138</v>
      </c>
      <c r="Z12" s="351"/>
      <c r="AA12" s="340" t="s">
        <v>372</v>
      </c>
      <c r="AB12" s="228"/>
      <c r="AC12" s="229">
        <f t="shared" si="0"/>
        <v>25</v>
      </c>
      <c r="AE12" s="334" t="s">
        <v>139</v>
      </c>
      <c r="AF12" s="642">
        <v>4</v>
      </c>
      <c r="AG12" s="557">
        <v>200</v>
      </c>
      <c r="AH12" s="558">
        <v>390</v>
      </c>
      <c r="AI12" s="5" t="s">
        <v>138</v>
      </c>
    </row>
    <row r="13" spans="24:35" ht="12.75" hidden="1">
      <c r="X13" s="307"/>
      <c r="Y13" s="347" t="s">
        <v>141</v>
      </c>
      <c r="Z13" s="351"/>
      <c r="AA13" s="340" t="s">
        <v>373</v>
      </c>
      <c r="AB13" s="228"/>
      <c r="AC13" s="229">
        <f t="shared" si="0"/>
        <v>25</v>
      </c>
      <c r="AE13" s="334" t="s">
        <v>142</v>
      </c>
      <c r="AF13" s="642">
        <v>19</v>
      </c>
      <c r="AG13" s="542">
        <v>240</v>
      </c>
      <c r="AH13" s="643">
        <v>400</v>
      </c>
      <c r="AI13" s="5" t="s">
        <v>141</v>
      </c>
    </row>
    <row r="14" spans="24:35" ht="12.75" hidden="1">
      <c r="X14" s="307"/>
      <c r="Y14" s="346" t="s">
        <v>322</v>
      </c>
      <c r="Z14" s="350"/>
      <c r="AA14" s="340" t="s">
        <v>374</v>
      </c>
      <c r="AB14" s="228"/>
      <c r="AC14" s="229">
        <f t="shared" si="0"/>
        <v>21</v>
      </c>
      <c r="AE14" s="334" t="s">
        <v>323</v>
      </c>
      <c r="AF14" s="642">
        <v>15</v>
      </c>
      <c r="AG14" s="542">
        <v>160</v>
      </c>
      <c r="AH14" s="643">
        <v>260</v>
      </c>
      <c r="AI14" s="5" t="s">
        <v>322</v>
      </c>
    </row>
    <row r="15" spans="24:35" ht="12.75" hidden="1">
      <c r="X15" s="307"/>
      <c r="Y15" s="347" t="s">
        <v>143</v>
      </c>
      <c r="Z15" s="351" t="s">
        <v>140</v>
      </c>
      <c r="AA15" s="340" t="s">
        <v>375</v>
      </c>
      <c r="AB15" s="228"/>
      <c r="AC15" s="229">
        <f t="shared" si="0"/>
        <v>21</v>
      </c>
      <c r="AE15" s="334" t="s">
        <v>144</v>
      </c>
      <c r="AF15" s="642">
        <v>9</v>
      </c>
      <c r="AG15" s="542">
        <v>220</v>
      </c>
      <c r="AH15" s="643">
        <v>420</v>
      </c>
      <c r="AI15" s="5" t="s">
        <v>143</v>
      </c>
    </row>
    <row r="16" spans="24:35" ht="13.5" hidden="1" thickBot="1">
      <c r="X16" s="307"/>
      <c r="Y16" s="347" t="s">
        <v>145</v>
      </c>
      <c r="Z16" s="351"/>
      <c r="AA16" s="340" t="s">
        <v>376</v>
      </c>
      <c r="AB16" s="228"/>
      <c r="AC16" s="229">
        <f t="shared" si="0"/>
        <v>18</v>
      </c>
      <c r="AE16" s="334" t="s">
        <v>146</v>
      </c>
      <c r="AF16" s="642"/>
      <c r="AG16" s="542"/>
      <c r="AH16" s="643"/>
      <c r="AI16" s="5" t="s">
        <v>145</v>
      </c>
    </row>
    <row r="17" spans="24:42" ht="13.5" hidden="1" thickBot="1">
      <c r="X17" s="307"/>
      <c r="Y17" s="347" t="s">
        <v>147</v>
      </c>
      <c r="Z17" s="351" t="s">
        <v>140</v>
      </c>
      <c r="AA17" s="340" t="s">
        <v>377</v>
      </c>
      <c r="AB17" s="228"/>
      <c r="AC17" s="229">
        <f t="shared" si="0"/>
        <v>13</v>
      </c>
      <c r="AE17" s="334" t="s">
        <v>148</v>
      </c>
      <c r="AF17" s="642"/>
      <c r="AG17" s="542"/>
      <c r="AH17" s="643"/>
      <c r="AI17" s="5" t="s">
        <v>147</v>
      </c>
      <c r="AK17" s="644" t="s">
        <v>652</v>
      </c>
      <c r="AL17" s="645">
        <v>190</v>
      </c>
      <c r="AM17" s="646">
        <v>240</v>
      </c>
      <c r="AN17" s="644" t="s">
        <v>653</v>
      </c>
      <c r="AO17" s="645">
        <v>190</v>
      </c>
      <c r="AP17" s="646">
        <v>350</v>
      </c>
    </row>
    <row r="18" spans="24:35" ht="12.75" hidden="1">
      <c r="X18" s="307"/>
      <c r="Y18" s="347" t="s">
        <v>396</v>
      </c>
      <c r="Z18" s="351" t="s">
        <v>140</v>
      </c>
      <c r="AA18" s="340" t="s">
        <v>378</v>
      </c>
      <c r="AB18" s="228"/>
      <c r="AC18" s="229">
        <f t="shared" si="0"/>
        <v>30</v>
      </c>
      <c r="AE18" s="334" t="s">
        <v>363</v>
      </c>
      <c r="AF18" s="642">
        <v>11</v>
      </c>
      <c r="AG18" s="542">
        <v>260</v>
      </c>
      <c r="AH18" s="643">
        <v>490</v>
      </c>
      <c r="AI18" s="5" t="s">
        <v>494</v>
      </c>
    </row>
    <row r="19" spans="24:35" ht="12.75" hidden="1">
      <c r="X19" s="307"/>
      <c r="Y19" s="347" t="s">
        <v>320</v>
      </c>
      <c r="Z19" s="351"/>
      <c r="AA19" s="340" t="s">
        <v>379</v>
      </c>
      <c r="AB19" s="228"/>
      <c r="AC19" s="229">
        <f t="shared" si="0"/>
        <v>28</v>
      </c>
      <c r="AE19" s="334" t="s">
        <v>149</v>
      </c>
      <c r="AF19" s="642">
        <v>8</v>
      </c>
      <c r="AG19" s="542">
        <v>250</v>
      </c>
      <c r="AH19" s="643">
        <v>440</v>
      </c>
      <c r="AI19" s="5" t="s">
        <v>320</v>
      </c>
    </row>
    <row r="20" spans="24:35" ht="12.75" hidden="1">
      <c r="X20" s="307"/>
      <c r="Y20" s="347" t="s">
        <v>150</v>
      </c>
      <c r="Z20" s="351"/>
      <c r="AA20" s="340" t="s">
        <v>380</v>
      </c>
      <c r="AB20" s="228"/>
      <c r="AC20" s="229">
        <f t="shared" si="0"/>
        <v>20</v>
      </c>
      <c r="AE20" s="334" t="s">
        <v>151</v>
      </c>
      <c r="AF20" s="642">
        <v>17</v>
      </c>
      <c r="AG20" s="542">
        <v>250</v>
      </c>
      <c r="AH20" s="643">
        <v>430</v>
      </c>
      <c r="AI20" s="5" t="s">
        <v>150</v>
      </c>
    </row>
    <row r="21" spans="24:35" ht="12.75" hidden="1">
      <c r="X21" s="307"/>
      <c r="Y21" s="346" t="s">
        <v>152</v>
      </c>
      <c r="Z21" s="350"/>
      <c r="AA21" s="340" t="s">
        <v>381</v>
      </c>
      <c r="AB21" s="228"/>
      <c r="AC21" s="229">
        <f t="shared" si="0"/>
        <v>17</v>
      </c>
      <c r="AE21" s="334" t="s">
        <v>153</v>
      </c>
      <c r="AF21" s="642">
        <v>25</v>
      </c>
      <c r="AG21" s="542">
        <v>160</v>
      </c>
      <c r="AH21" s="643">
        <v>290</v>
      </c>
      <c r="AI21" s="5" t="s">
        <v>152</v>
      </c>
    </row>
    <row r="22" spans="24:35" ht="12.75" hidden="1">
      <c r="X22" s="307"/>
      <c r="Y22" s="346" t="s">
        <v>154</v>
      </c>
      <c r="Z22" s="350"/>
      <c r="AA22" s="340" t="s">
        <v>382</v>
      </c>
      <c r="AB22" s="228"/>
      <c r="AC22" s="229">
        <f t="shared" si="0"/>
        <v>20</v>
      </c>
      <c r="AE22" s="334" t="s">
        <v>155</v>
      </c>
      <c r="AF22" s="642">
        <v>13</v>
      </c>
      <c r="AG22" s="542">
        <v>250</v>
      </c>
      <c r="AH22" s="643">
        <v>440</v>
      </c>
      <c r="AI22" s="5" t="s">
        <v>154</v>
      </c>
    </row>
    <row r="23" spans="24:35" ht="12.75" hidden="1">
      <c r="X23" s="307"/>
      <c r="Y23" s="346" t="s">
        <v>324</v>
      </c>
      <c r="Z23" s="350"/>
      <c r="AA23" s="340" t="s">
        <v>383</v>
      </c>
      <c r="AB23" s="228"/>
      <c r="AC23" s="229">
        <f t="shared" si="0"/>
        <v>30</v>
      </c>
      <c r="AE23" s="334" t="s">
        <v>325</v>
      </c>
      <c r="AF23" s="642"/>
      <c r="AG23" s="542"/>
      <c r="AH23" s="643"/>
      <c r="AI23" s="5" t="s">
        <v>324</v>
      </c>
    </row>
    <row r="24" spans="24:35" ht="12.75" hidden="1">
      <c r="X24" s="307"/>
      <c r="Y24" s="346" t="s">
        <v>315</v>
      </c>
      <c r="Z24" s="350"/>
      <c r="AA24" s="340" t="s">
        <v>384</v>
      </c>
      <c r="AB24" s="228"/>
      <c r="AC24" s="229">
        <f t="shared" si="0"/>
        <v>18</v>
      </c>
      <c r="AE24" s="334" t="s">
        <v>316</v>
      </c>
      <c r="AF24" s="642"/>
      <c r="AG24" s="542"/>
      <c r="AH24" s="643"/>
      <c r="AI24" s="5" t="s">
        <v>315</v>
      </c>
    </row>
    <row r="25" spans="24:35" ht="12.75" hidden="1">
      <c r="X25" s="307"/>
      <c r="Y25" s="346" t="s">
        <v>317</v>
      </c>
      <c r="Z25" s="350"/>
      <c r="AA25" s="340" t="s">
        <v>385</v>
      </c>
      <c r="AB25" s="228"/>
      <c r="AC25" s="229">
        <f t="shared" si="0"/>
        <v>33</v>
      </c>
      <c r="AE25" s="334" t="s">
        <v>321</v>
      </c>
      <c r="AF25" s="642"/>
      <c r="AG25" s="542"/>
      <c r="AH25" s="643"/>
      <c r="AI25" s="5" t="s">
        <v>317</v>
      </c>
    </row>
    <row r="26" spans="24:35" ht="12.75" hidden="1">
      <c r="X26" s="307"/>
      <c r="Y26" s="346" t="s">
        <v>314</v>
      </c>
      <c r="Z26" s="350"/>
      <c r="AA26" s="340" t="s">
        <v>386</v>
      </c>
      <c r="AB26" s="228"/>
      <c r="AC26" s="229">
        <f t="shared" si="0"/>
        <v>16</v>
      </c>
      <c r="AE26" s="334" t="s">
        <v>313</v>
      </c>
      <c r="AF26" s="642"/>
      <c r="AG26" s="542"/>
      <c r="AH26" s="643"/>
      <c r="AI26" s="5" t="s">
        <v>314</v>
      </c>
    </row>
    <row r="27" spans="24:35" ht="12.75" hidden="1">
      <c r="X27" s="307"/>
      <c r="Y27" s="348" t="s">
        <v>156</v>
      </c>
      <c r="Z27" s="352" t="s">
        <v>140</v>
      </c>
      <c r="AA27" s="340" t="s">
        <v>387</v>
      </c>
      <c r="AB27" s="228"/>
      <c r="AC27" s="229">
        <f t="shared" si="0"/>
        <v>7</v>
      </c>
      <c r="AE27" s="334" t="s">
        <v>157</v>
      </c>
      <c r="AF27" s="642"/>
      <c r="AG27" s="542"/>
      <c r="AH27" s="643"/>
      <c r="AI27" s="5" t="s">
        <v>156</v>
      </c>
    </row>
    <row r="28" spans="24:35" ht="12.75" hidden="1">
      <c r="X28" s="307"/>
      <c r="Y28" s="347" t="s">
        <v>158</v>
      </c>
      <c r="Z28" s="351" t="s">
        <v>140</v>
      </c>
      <c r="AA28" s="340" t="s">
        <v>388</v>
      </c>
      <c r="AB28" s="228"/>
      <c r="AC28" s="229">
        <f t="shared" si="0"/>
        <v>21</v>
      </c>
      <c r="AE28" s="334" t="s">
        <v>159</v>
      </c>
      <c r="AF28" s="642">
        <v>20</v>
      </c>
      <c r="AG28" s="542">
        <v>240</v>
      </c>
      <c r="AH28" s="643">
        <v>450</v>
      </c>
      <c r="AI28" s="5" t="s">
        <v>158</v>
      </c>
    </row>
    <row r="29" spans="24:35" ht="12.75" hidden="1">
      <c r="X29" s="307"/>
      <c r="Y29" s="346" t="s">
        <v>326</v>
      </c>
      <c r="Z29" s="350" t="s">
        <v>140</v>
      </c>
      <c r="AA29" s="340" t="s">
        <v>389</v>
      </c>
      <c r="AB29" s="228"/>
      <c r="AC29" s="229">
        <f t="shared" si="0"/>
        <v>7</v>
      </c>
      <c r="AE29" s="334" t="s">
        <v>327</v>
      </c>
      <c r="AF29" s="642">
        <v>14</v>
      </c>
      <c r="AG29" s="542">
        <v>220</v>
      </c>
      <c r="AH29" s="643">
        <v>390</v>
      </c>
      <c r="AI29" s="5" t="s">
        <v>326</v>
      </c>
    </row>
    <row r="30" spans="24:35" ht="12.75" hidden="1">
      <c r="X30" s="307"/>
      <c r="Y30" s="347" t="s">
        <v>13</v>
      </c>
      <c r="Z30" s="351" t="s">
        <v>140</v>
      </c>
      <c r="AA30" s="340" t="s">
        <v>390</v>
      </c>
      <c r="AB30" s="228"/>
      <c r="AC30" s="229">
        <f t="shared" si="0"/>
        <v>7</v>
      </c>
      <c r="AE30" s="334" t="s">
        <v>6</v>
      </c>
      <c r="AF30" s="642">
        <v>1.12</v>
      </c>
      <c r="AG30" s="542">
        <v>210</v>
      </c>
      <c r="AH30" s="643">
        <v>450</v>
      </c>
      <c r="AI30" s="5" t="s">
        <v>13</v>
      </c>
    </row>
    <row r="31" spans="24:35" ht="12.75" hidden="1">
      <c r="X31" s="307"/>
      <c r="Y31" s="349" t="s">
        <v>160</v>
      </c>
      <c r="Z31" s="351"/>
      <c r="AA31" s="340" t="s">
        <v>391</v>
      </c>
      <c r="AB31" s="228"/>
      <c r="AC31" s="229">
        <f>LEN(AA31)</f>
        <v>19</v>
      </c>
      <c r="AE31" s="334" t="s">
        <v>161</v>
      </c>
      <c r="AF31" s="642">
        <v>12.24</v>
      </c>
      <c r="AG31" s="542"/>
      <c r="AH31" s="643"/>
      <c r="AI31" s="5" t="s">
        <v>160</v>
      </c>
    </row>
    <row r="32" spans="24:35" ht="12.75" hidden="1">
      <c r="X32" s="307"/>
      <c r="Y32" s="349" t="s">
        <v>162</v>
      </c>
      <c r="Z32" s="351"/>
      <c r="AA32" s="340" t="s">
        <v>392</v>
      </c>
      <c r="AB32" s="228"/>
      <c r="AC32" s="229">
        <f t="shared" si="0"/>
        <v>16</v>
      </c>
      <c r="AE32" s="334" t="s">
        <v>163</v>
      </c>
      <c r="AF32" s="642">
        <v>6</v>
      </c>
      <c r="AG32" s="571">
        <v>260</v>
      </c>
      <c r="AH32" s="572">
        <v>490</v>
      </c>
      <c r="AI32" s="5" t="s">
        <v>162</v>
      </c>
    </row>
    <row r="33" spans="24:35" ht="12.75" hidden="1">
      <c r="X33" s="307"/>
      <c r="Y33" s="348" t="s">
        <v>318</v>
      </c>
      <c r="Z33" s="352"/>
      <c r="AA33" s="341" t="s">
        <v>393</v>
      </c>
      <c r="AB33" s="228"/>
      <c r="AC33" s="229">
        <f t="shared" si="0"/>
        <v>11</v>
      </c>
      <c r="AE33" s="335" t="s">
        <v>319</v>
      </c>
      <c r="AF33" s="642"/>
      <c r="AG33" s="542"/>
      <c r="AH33" s="643"/>
      <c r="AI33" s="5" t="s">
        <v>318</v>
      </c>
    </row>
    <row r="34" spans="24:34" ht="12.75" hidden="1">
      <c r="X34" s="307"/>
      <c r="Y34" s="228"/>
      <c r="Z34" s="228"/>
      <c r="AA34" s="334" t="s">
        <v>5</v>
      </c>
      <c r="AB34" s="228"/>
      <c r="AC34" s="229"/>
      <c r="AE34" s="334"/>
      <c r="AF34" s="642"/>
      <c r="AG34" s="542"/>
      <c r="AH34" s="643"/>
    </row>
    <row r="35" spans="24:36" ht="12.75" hidden="1">
      <c r="X35" s="307"/>
      <c r="Y35" s="230" t="str">
        <f>IF(OR('общие сведения'!L39=""),"Ошибка !",VLOOKUP('общие сведения'!L39,Y1:AB34,3))</f>
        <v>ИНСТРУКТОРА ПО ТРУДУ</v>
      </c>
      <c r="Z35" s="231"/>
      <c r="AA35" s="232">
        <f>LEN(Y35)</f>
        <v>20</v>
      </c>
      <c r="AB35" s="233"/>
      <c r="AC35" s="425" t="str">
        <f>IF(AC37="","-",IF(VLOOKUP(AC37,Y2:Z34,2)="v","Специализация","."))</f>
        <v>.</v>
      </c>
      <c r="AE35" s="230" t="str">
        <f>VLOOKUP('общие сведения'!L39,Y1:AE34,7)</f>
        <v>инструктора по труду</v>
      </c>
      <c r="AG35" s="647">
        <f>VLOOKUP('общие сведения'!L39,Y1:AH34,9)</f>
        <v>230</v>
      </c>
      <c r="AH35" s="647">
        <f>VLOOKUP('общие сведения'!L39,Y1:AH34,10)</f>
        <v>390</v>
      </c>
      <c r="AI35" s="648" t="s">
        <v>203</v>
      </c>
      <c r="AJ35" s="649">
        <f>VLOOKUP('общие сведения'!L39,Y1:AH34,8)</f>
        <v>10</v>
      </c>
    </row>
    <row r="36" spans="24:36" ht="12.75" hidden="1">
      <c r="X36" s="307"/>
      <c r="Y36" s="234">
        <f>IF(ISERR(SEARCH(LEFT(Y35,5),D52)),0,1)</f>
        <v>0</v>
      </c>
      <c r="Z36" s="972"/>
      <c r="AA36" s="972"/>
      <c r="AB36" s="235"/>
      <c r="AC36" s="229"/>
      <c r="AG36" s="650" t="s">
        <v>2</v>
      </c>
      <c r="AH36" s="650" t="s">
        <v>3</v>
      </c>
      <c r="AI36" s="290"/>
      <c r="AJ36" s="651" t="s">
        <v>651</v>
      </c>
    </row>
    <row r="37" spans="24:29" ht="12.75" hidden="1">
      <c r="X37" s="307"/>
      <c r="Y37" s="228" t="str">
        <f>IF(AND(AA35&lt;31,Y36=1),Y35,AE35)</f>
        <v>инструктора по труду</v>
      </c>
      <c r="Z37" s="314"/>
      <c r="AA37" s="314"/>
      <c r="AB37" s="315"/>
      <c r="AC37" s="470" t="str">
        <f>'общие сведения'!B39</f>
        <v>инструктор по труду</v>
      </c>
    </row>
    <row r="38" spans="24:29" ht="12.75" hidden="1">
      <c r="X38" s="307"/>
      <c r="Y38" s="228"/>
      <c r="Z38" s="314"/>
      <c r="AA38" s="314"/>
      <c r="AB38" s="315"/>
      <c r="AC38" s="178"/>
    </row>
    <row r="39" spans="24:29" ht="12.75" hidden="1">
      <c r="X39" s="307"/>
      <c r="Y39" s="228"/>
      <c r="Z39" s="314"/>
      <c r="AA39" s="314"/>
      <c r="AB39" s="315"/>
      <c r="AC39" s="178"/>
    </row>
    <row r="40" spans="1:24" ht="15" customHeight="1">
      <c r="A40" s="974" t="s">
        <v>180</v>
      </c>
      <c r="B40" s="974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373"/>
    </row>
    <row r="41" spans="1:34" ht="3" customHeight="1">
      <c r="A41" s="974"/>
      <c r="B41" s="974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974"/>
      <c r="X41" s="373"/>
      <c r="AH41" s="373"/>
    </row>
    <row r="42" spans="1:34" ht="15" customHeight="1">
      <c r="A42" s="973" t="s">
        <v>675</v>
      </c>
      <c r="B42" s="973"/>
      <c r="C42" s="973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472" t="str">
        <f>'общие сведения'!T1</f>
        <v> ЭЗ - 05. 2021 г.</v>
      </c>
      <c r="Y42" s="57"/>
      <c r="AH42" s="373"/>
    </row>
    <row r="43" spans="1:34" ht="12.75">
      <c r="A43" s="973"/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471" t="str">
        <f>'общие сведения'!T2</f>
        <v># 10</v>
      </c>
      <c r="AH43" s="373"/>
    </row>
    <row r="44" spans="1:34" ht="12.75">
      <c r="A44" s="973"/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3"/>
      <c r="T44" s="973"/>
      <c r="U44" s="973"/>
      <c r="V44" s="973"/>
      <c r="W44" s="973"/>
      <c r="X44" s="456"/>
      <c r="AH44" s="373"/>
    </row>
    <row r="45" spans="1:34" ht="18" customHeight="1">
      <c r="A45" s="979" t="s">
        <v>181</v>
      </c>
      <c r="B45" s="979"/>
      <c r="C45" s="979"/>
      <c r="D45" s="979"/>
      <c r="E45" s="979"/>
      <c r="F45" s="979"/>
      <c r="G45" s="979"/>
      <c r="H45" s="979"/>
      <c r="I45" s="979"/>
      <c r="J45" s="979"/>
      <c r="K45" s="979"/>
      <c r="L45" s="979"/>
      <c r="M45" s="979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456"/>
      <c r="AH45" s="373"/>
    </row>
    <row r="46" spans="1:34" ht="6.75" customHeight="1">
      <c r="A46" s="979"/>
      <c r="B46" s="979"/>
      <c r="C46" s="979"/>
      <c r="D46" s="979"/>
      <c r="E46" s="979"/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79"/>
      <c r="X46" s="456"/>
      <c r="AH46" s="373"/>
    </row>
    <row r="47" spans="1:34" ht="12.75">
      <c r="A47" s="169" t="s">
        <v>9</v>
      </c>
      <c r="E47" s="975">
        <f>'общие сведения'!L31</f>
      </c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456"/>
      <c r="AH47" s="373"/>
    </row>
    <row r="48" spans="1:34" ht="12.75">
      <c r="A48" s="169" t="s">
        <v>11</v>
      </c>
      <c r="C48" s="976">
        <f>IF(FIO="","",'общие сведения'!L35)</f>
      </c>
      <c r="D48" s="976"/>
      <c r="E48" s="976"/>
      <c r="F48" s="976"/>
      <c r="G48" s="976"/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976"/>
      <c r="X48" s="456"/>
      <c r="AH48" s="373"/>
    </row>
    <row r="49" spans="1:34" ht="12.75" customHeight="1">
      <c r="A49" s="976">
        <f>IF(FIO="","",'общие сведения'!L36)</f>
      </c>
      <c r="B49" s="976"/>
      <c r="C49" s="976"/>
      <c r="D49" s="976"/>
      <c r="E49" s="976"/>
      <c r="F49" s="976"/>
      <c r="G49" s="976"/>
      <c r="H49" s="976"/>
      <c r="I49" s="976"/>
      <c r="J49" s="976"/>
      <c r="K49" s="976"/>
      <c r="L49" s="976"/>
      <c r="M49" s="976"/>
      <c r="N49" s="976"/>
      <c r="O49" s="976"/>
      <c r="P49" s="976"/>
      <c r="Q49" s="976"/>
      <c r="R49" s="976"/>
      <c r="S49" s="976"/>
      <c r="T49" s="976"/>
      <c r="U49" s="976"/>
      <c r="V49" s="976"/>
      <c r="W49" s="976"/>
      <c r="X49" s="456"/>
      <c r="AH49" s="373"/>
    </row>
    <row r="50" spans="1:34" ht="12.75">
      <c r="A50" s="976">
        <f>IF(FIO="","",'общие сведения'!L37)</f>
      </c>
      <c r="B50" s="976"/>
      <c r="C50" s="976"/>
      <c r="D50" s="976"/>
      <c r="E50" s="976"/>
      <c r="F50" s="976"/>
      <c r="G50" s="976"/>
      <c r="H50" s="976"/>
      <c r="I50" s="976"/>
      <c r="J50" s="976"/>
      <c r="K50" s="976"/>
      <c r="L50" s="976"/>
      <c r="M50" s="976"/>
      <c r="N50" s="976"/>
      <c r="O50" s="976"/>
      <c r="P50" s="976"/>
      <c r="Q50" s="976"/>
      <c r="R50" s="976"/>
      <c r="S50" s="976"/>
      <c r="T50" s="976"/>
      <c r="U50" s="976"/>
      <c r="V50" s="976"/>
      <c r="W50" s="976"/>
      <c r="X50" s="456"/>
      <c r="AH50" s="373"/>
    </row>
    <row r="51" spans="1:34" ht="12.75">
      <c r="A51" s="169" t="s">
        <v>10</v>
      </c>
      <c r="E51" s="246">
        <f>IF(FIO="","",'общие сведения'!L33)</f>
      </c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456"/>
      <c r="AH51" s="373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56"/>
      <c r="AH52" s="373"/>
    </row>
    <row r="53" spans="1:34" ht="12.75" customHeight="1">
      <c r="A53" s="169" t="s">
        <v>182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56"/>
      <c r="AH53" s="373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56"/>
      <c r="AH54" s="373"/>
    </row>
    <row r="55" spans="1:34" ht="12.75">
      <c r="A55" s="169" t="s">
        <v>15</v>
      </c>
      <c r="G55" s="966">
        <f>IF(OR(FIO="",'общие сведения'!D47=""),"",'общие сведения'!D47)</f>
      </c>
      <c r="H55" s="966"/>
      <c r="I55" s="170"/>
      <c r="J55" s="170"/>
      <c r="K55" s="978" t="s">
        <v>16</v>
      </c>
      <c r="L55" s="978"/>
      <c r="M55" s="978"/>
      <c r="N55" s="978"/>
      <c r="O55" s="978"/>
      <c r="P55" s="977">
        <f>'общие сведения'!K47</f>
      </c>
      <c r="Q55" s="977"/>
      <c r="R55" s="977"/>
      <c r="S55" s="977"/>
      <c r="X55" s="456"/>
      <c r="AH55" s="373"/>
    </row>
    <row r="56" spans="1:34" ht="12.75">
      <c r="A56" s="169" t="s">
        <v>18</v>
      </c>
      <c r="G56" s="966">
        <f>IF(OR(FIO="",'общие сведения'!D49=""),"",'общие сведения'!D49)</f>
      </c>
      <c r="H56" s="966"/>
      <c r="I56" s="170"/>
      <c r="J56" s="170"/>
      <c r="X56" s="456"/>
      <c r="AH56" s="373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56"/>
      <c r="Z57" s="390"/>
      <c r="AH57" s="373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56"/>
      <c r="AH58" s="373"/>
    </row>
    <row r="59" spans="1:34" ht="12.75" customHeight="1">
      <c r="A59" s="967">
        <f>IF(FIO="","",CLEAN('общие сведения'!L54&amp;" "&amp;'общие сведения'!L58&amp;" "&amp;'общие сведения'!L62))</f>
      </c>
      <c r="B59" s="967"/>
      <c r="C59" s="967"/>
      <c r="D59" s="967"/>
      <c r="E59" s="967"/>
      <c r="F59" s="967"/>
      <c r="G59" s="967"/>
      <c r="H59" s="967"/>
      <c r="I59" s="967"/>
      <c r="J59" s="967"/>
      <c r="K59" s="967"/>
      <c r="L59" s="967"/>
      <c r="M59" s="967"/>
      <c r="N59" s="967"/>
      <c r="O59" s="967"/>
      <c r="P59" s="967"/>
      <c r="Q59" s="967"/>
      <c r="R59" s="967"/>
      <c r="S59" s="967"/>
      <c r="T59" s="967"/>
      <c r="U59" s="967"/>
      <c r="V59" s="967"/>
      <c r="W59" s="967"/>
      <c r="X59" s="456"/>
      <c r="Y59" s="358"/>
      <c r="Z59" s="364" t="s">
        <v>450</v>
      </c>
      <c r="AH59" s="373"/>
    </row>
    <row r="60" spans="1:34" ht="12.75" customHeight="1">
      <c r="A60" s="967"/>
      <c r="B60" s="967"/>
      <c r="C60" s="967"/>
      <c r="D60" s="967"/>
      <c r="E60" s="967"/>
      <c r="F60" s="967"/>
      <c r="G60" s="967"/>
      <c r="H60" s="967"/>
      <c r="I60" s="967"/>
      <c r="J60" s="967"/>
      <c r="K60" s="967"/>
      <c r="L60" s="967"/>
      <c r="M60" s="967"/>
      <c r="N60" s="967"/>
      <c r="O60" s="967"/>
      <c r="P60" s="967"/>
      <c r="Q60" s="967"/>
      <c r="R60" s="967"/>
      <c r="S60" s="967"/>
      <c r="T60" s="967"/>
      <c r="U60" s="967"/>
      <c r="V60" s="967"/>
      <c r="W60" s="967"/>
      <c r="X60" s="456"/>
      <c r="Y60" s="358"/>
      <c r="Z60" s="364" t="s">
        <v>451</v>
      </c>
      <c r="AH60" s="373"/>
    </row>
    <row r="61" spans="1:34" ht="12.75" customHeight="1">
      <c r="A61" s="967"/>
      <c r="B61" s="967"/>
      <c r="C61" s="967"/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456"/>
      <c r="Y61" s="358"/>
      <c r="Z61" s="364" t="s">
        <v>452</v>
      </c>
      <c r="AH61" s="373"/>
    </row>
    <row r="62" spans="1:34" ht="12.75" customHeight="1">
      <c r="A62" s="967"/>
      <c r="B62" s="967"/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456"/>
      <c r="Y62" s="391" t="str">
        <f>IF(SUM(Y59:Y61)&gt;0,"да","нет")</f>
        <v>нет</v>
      </c>
      <c r="Z62" s="392" t="s">
        <v>453</v>
      </c>
      <c r="AH62" s="373"/>
    </row>
    <row r="63" spans="1:65" ht="12.75">
      <c r="A63" s="967"/>
      <c r="B63" s="967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456"/>
      <c r="Y63" s="217"/>
      <c r="Z63" s="217"/>
      <c r="AA63" s="217"/>
      <c r="AB63" s="217"/>
      <c r="AC63" s="217"/>
      <c r="AD63" s="217"/>
      <c r="AE63" s="217"/>
      <c r="AF63" s="217"/>
      <c r="AG63" s="217"/>
      <c r="AH63" s="373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183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56"/>
      <c r="Y64" s="217"/>
      <c r="Z64" s="217"/>
      <c r="AA64" s="217"/>
      <c r="AB64" s="217"/>
      <c r="AC64" s="217"/>
      <c r="AD64" s="217"/>
      <c r="AE64" s="217"/>
      <c r="AF64" s="217"/>
      <c r="AG64" s="217"/>
      <c r="AH64" s="373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33">
        <f>IF(FIO="","",'общие сведения'!G78)</f>
      </c>
      <c r="L65" s="1033"/>
      <c r="M65" s="169" t="s">
        <v>184</v>
      </c>
      <c r="N65" s="322"/>
      <c r="T65" s="177"/>
      <c r="U65" s="177"/>
      <c r="V65" s="177"/>
      <c r="W65" s="217"/>
      <c r="X65" s="456"/>
      <c r="Y65" s="217"/>
      <c r="Z65" s="217"/>
      <c r="AA65" s="217"/>
      <c r="AB65" s="217"/>
      <c r="AC65" s="217"/>
      <c r="AD65" s="217"/>
      <c r="AE65" s="217"/>
      <c r="AF65" s="217"/>
      <c r="AG65" s="217"/>
      <c r="AH65" s="373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56"/>
      <c r="Y66" s="217"/>
      <c r="Z66" s="217"/>
      <c r="AA66" s="217"/>
      <c r="AB66" s="217"/>
      <c r="AC66" s="217"/>
      <c r="AD66" s="217"/>
      <c r="AE66" s="217"/>
      <c r="AF66" s="217"/>
      <c r="AG66" s="217"/>
      <c r="AH66" s="373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67">
        <f>IF(FIO="","",CLEAN('общие сведения'!L73))</f>
      </c>
      <c r="B67" s="967"/>
      <c r="C67" s="967"/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456"/>
      <c r="AH67" s="373"/>
    </row>
    <row r="68" spans="1:34" ht="12.75" customHeight="1">
      <c r="A68" s="967"/>
      <c r="B68" s="967"/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456"/>
      <c r="AH68" s="373"/>
    </row>
    <row r="69" spans="1:34" ht="12.75" customHeight="1">
      <c r="A69" s="967"/>
      <c r="B69" s="967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7"/>
      <c r="V69" s="967"/>
      <c r="W69" s="967"/>
      <c r="X69" s="456"/>
      <c r="AH69" s="373"/>
    </row>
    <row r="70" spans="1:34" ht="12.75" customHeight="1">
      <c r="A70" s="967"/>
      <c r="B70" s="967"/>
      <c r="C70" s="967"/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456"/>
      <c r="AH70" s="373"/>
    </row>
    <row r="71" spans="1:34" ht="21" customHeight="1">
      <c r="A71" s="175" t="s">
        <v>185</v>
      </c>
      <c r="X71" s="456"/>
      <c r="AD71" s="364" t="str">
        <f>'общие сведения'!O10</f>
        <v>порог для __первая__инструктор по труду</v>
      </c>
      <c r="AH71" s="373"/>
    </row>
    <row r="72" spans="1:34" ht="12.75">
      <c r="A72" s="968" t="s">
        <v>186</v>
      </c>
      <c r="B72" s="968"/>
      <c r="C72" s="968"/>
      <c r="D72" s="968"/>
      <c r="E72" s="968"/>
      <c r="F72" s="968"/>
      <c r="G72" s="968"/>
      <c r="H72" s="968"/>
      <c r="I72" s="968"/>
      <c r="J72" s="968"/>
      <c r="K72" s="968"/>
      <c r="L72" s="968"/>
      <c r="M72" s="968"/>
      <c r="N72" s="968"/>
      <c r="O72" s="968"/>
      <c r="P72" s="968"/>
      <c r="Q72" s="968"/>
      <c r="R72" s="968"/>
      <c r="S72" s="968"/>
      <c r="T72" s="968"/>
      <c r="U72" s="968"/>
      <c r="V72" s="968"/>
      <c r="W72" s="968"/>
      <c r="X72" s="456"/>
      <c r="AB72" s="358" t="s">
        <v>404</v>
      </c>
      <c r="AC72" s="5">
        <f>z_kateg</f>
      </c>
      <c r="AD72" s="290">
        <f>'общие сведения'!P10</f>
        <v>230</v>
      </c>
      <c r="AH72" s="373"/>
    </row>
    <row r="73" spans="1:34" ht="12.75">
      <c r="A73" s="968"/>
      <c r="B73" s="968"/>
      <c r="C73" s="968"/>
      <c r="D73" s="968"/>
      <c r="E73" s="968"/>
      <c r="F73" s="968"/>
      <c r="G73" s="968"/>
      <c r="H73" s="968"/>
      <c r="I73" s="968"/>
      <c r="J73" s="968"/>
      <c r="K73" s="968"/>
      <c r="L73" s="968"/>
      <c r="M73" s="968"/>
      <c r="N73" s="968"/>
      <c r="O73" s="968"/>
      <c r="P73" s="968"/>
      <c r="Q73" s="968"/>
      <c r="R73" s="968"/>
      <c r="S73" s="968"/>
      <c r="T73" s="968"/>
      <c r="U73" s="968"/>
      <c r="V73" s="968"/>
      <c r="W73" s="968"/>
      <c r="X73" s="456"/>
      <c r="AB73" s="358" t="s">
        <v>345</v>
      </c>
      <c r="AC73" s="5" t="str">
        <f>AB160</f>
        <v>нет</v>
      </c>
      <c r="AH73" s="373"/>
    </row>
    <row r="74" spans="1:34" ht="12.75">
      <c r="A74" s="968"/>
      <c r="B74" s="968"/>
      <c r="C74" s="968"/>
      <c r="D74" s="968"/>
      <c r="E74" s="968"/>
      <c r="F74" s="968"/>
      <c r="G74" s="968"/>
      <c r="H74" s="968"/>
      <c r="I74" s="968"/>
      <c r="J74" s="968"/>
      <c r="K74" s="968"/>
      <c r="L74" s="968"/>
      <c r="M74" s="968"/>
      <c r="N74" s="968"/>
      <c r="O74" s="968"/>
      <c r="P74" s="968"/>
      <c r="Q74" s="968"/>
      <c r="R74" s="968"/>
      <c r="S74" s="968"/>
      <c r="T74" s="968"/>
      <c r="U74" s="968"/>
      <c r="V74" s="968"/>
      <c r="W74" s="968"/>
      <c r="X74" s="456"/>
      <c r="AH74" s="373"/>
    </row>
    <row r="75" spans="1:65" ht="12.75" customHeight="1">
      <c r="A75" s="169" t="s">
        <v>187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56"/>
      <c r="Y75" s="179"/>
      <c r="Z75" s="251"/>
      <c r="AB75" s="251" t="s">
        <v>209</v>
      </c>
      <c r="AC75" s="251" t="s">
        <v>277</v>
      </c>
      <c r="AD75" s="289"/>
      <c r="AE75" s="317" t="s">
        <v>398</v>
      </c>
      <c r="AH75" s="373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188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189</v>
      </c>
      <c r="X76" s="456"/>
      <c r="Z76" s="357" t="s">
        <v>399</v>
      </c>
      <c r="AB76" s="269">
        <f>AB112</f>
        <v>100</v>
      </c>
      <c r="AC76" s="318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3"/>
    </row>
    <row r="77" spans="1:34" ht="12.75">
      <c r="A77" s="247" t="s">
        <v>190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0"/>
      <c r="W77" s="174" t="s">
        <v>189</v>
      </c>
      <c r="X77" s="456"/>
      <c r="Z77" s="357" t="s">
        <v>400</v>
      </c>
      <c r="AB77" s="269">
        <f>AB163</f>
        <v>370</v>
      </c>
      <c r="AC77" s="318">
        <f>AC163</f>
        <v>20</v>
      </c>
      <c r="AD77" s="190"/>
      <c r="AE77" s="251" t="b">
        <f>U77&gt;=AC77</f>
        <v>1</v>
      </c>
      <c r="AF77" s="5">
        <f>IF(AG77&gt;=AC77,1,0)</f>
        <v>0</v>
      </c>
      <c r="AH77" s="373"/>
    </row>
    <row r="78" spans="1:34" ht="12.75">
      <c r="A78" s="247" t="s">
        <v>191</v>
      </c>
      <c r="B78" s="169" t="str">
        <f>B255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0"/>
      <c r="W78" s="174" t="s">
        <v>189</v>
      </c>
      <c r="X78" s="456"/>
      <c r="Z78" s="357" t="s">
        <v>401</v>
      </c>
      <c r="AB78" s="269">
        <f>AB256</f>
        <v>1080</v>
      </c>
      <c r="AC78" s="318">
        <f>AC256</f>
        <v>130</v>
      </c>
      <c r="AD78" s="190"/>
      <c r="AE78" s="251" t="b">
        <f>U78&gt;=AC78</f>
        <v>1</v>
      </c>
      <c r="AF78" s="5">
        <f>IF(AG78&gt;=AC78,1,0)</f>
        <v>0</v>
      </c>
      <c r="AH78" s="373"/>
    </row>
    <row r="79" spans="1:34" ht="12.75">
      <c r="A79" s="247" t="s">
        <v>192</v>
      </c>
      <c r="B79" s="169" t="str">
        <f>B445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0"/>
      <c r="W79" s="174" t="s">
        <v>189</v>
      </c>
      <c r="X79" s="456"/>
      <c r="Z79" s="357" t="s">
        <v>402</v>
      </c>
      <c r="AB79" s="269">
        <f>AB445</f>
        <v>250</v>
      </c>
      <c r="AC79" s="269">
        <f>AC445</f>
        <v>0</v>
      </c>
      <c r="AD79" s="299"/>
      <c r="AE79" s="251" t="b">
        <f>U79&gt;=AC79</f>
        <v>1</v>
      </c>
      <c r="AF79" s="5">
        <f>IF(AG79&gt;=AC79,1,0)</f>
        <v>1</v>
      </c>
      <c r="AH79" s="373"/>
    </row>
    <row r="80" spans="20:34" ht="3" customHeight="1">
      <c r="T80" s="12"/>
      <c r="U80" s="247"/>
      <c r="V80" s="247"/>
      <c r="W80" s="180"/>
      <c r="X80" s="456"/>
      <c r="AD80" s="289"/>
      <c r="AH80" s="373"/>
    </row>
    <row r="81" spans="2:34" ht="12.75">
      <c r="B81" s="222" t="s">
        <v>274</v>
      </c>
      <c r="T81" s="12"/>
      <c r="U81" s="239">
        <f>IF(FIO="","",Всего)</f>
      </c>
      <c r="V81" s="170"/>
      <c r="W81" s="174" t="s">
        <v>189</v>
      </c>
      <c r="X81" s="456"/>
      <c r="Y81" s="367" t="s">
        <v>406</v>
      </c>
      <c r="Z81" s="368">
        <f>IF(FIO="","",SUM(U76:U79))</f>
      </c>
      <c r="AA81" s="5" t="s">
        <v>405</v>
      </c>
      <c r="AB81" s="269">
        <f>SUM(AB76:AB79)</f>
        <v>1800</v>
      </c>
      <c r="AC81" s="318">
        <f>SUM(AC76:AC79)</f>
        <v>210</v>
      </c>
      <c r="AD81" s="300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3"/>
    </row>
    <row r="82" spans="23:34" ht="12" customHeight="1">
      <c r="W82" s="179"/>
      <c r="X82" s="456"/>
      <c r="Y82" s="365" t="s">
        <v>490</v>
      </c>
      <c r="Z82" s="366">
        <f>IF(H84="","",IF(Всего&gt;=AD72," СООТВЕТСТВУЕТ","  НЕ СООТВЕТСТВУЕТ"))</f>
      </c>
      <c r="AD82" s="297"/>
      <c r="AE82" s="297"/>
      <c r="AF82" s="297"/>
      <c r="AH82" s="373"/>
    </row>
    <row r="83" spans="1:34" s="168" customFormat="1" ht="12.75">
      <c r="A83" s="336" t="s">
        <v>445</v>
      </c>
      <c r="B83" s="329"/>
      <c r="C83" s="329"/>
      <c r="D83" s="329"/>
      <c r="E83" s="398"/>
      <c r="F83" s="398"/>
      <c r="G83" s="337"/>
      <c r="H83" s="337"/>
      <c r="I83" s="337"/>
      <c r="K83" s="399">
        <f>IF(OR(Всего="",FIO=""),"",Y35&amp;Z82)</f>
      </c>
      <c r="L83" s="337"/>
      <c r="M83" s="337"/>
      <c r="N83" s="337"/>
      <c r="O83" s="337"/>
      <c r="P83" s="342"/>
      <c r="Q83" s="330"/>
      <c r="R83" s="330"/>
      <c r="S83" s="371" t="s">
        <v>446</v>
      </c>
      <c r="V83" s="338"/>
      <c r="X83" s="456"/>
      <c r="Z83" s="366" t="str">
        <f>CONCATENATE(A83,K83,S83)</f>
        <v>Уровень квалификации    требованиям,  </v>
      </c>
      <c r="AG83" s="5"/>
      <c r="AH83" s="373"/>
    </row>
    <row r="84" spans="1:34" s="168" customFormat="1" ht="12.75">
      <c r="A84" s="336" t="s">
        <v>444</v>
      </c>
      <c r="B84" s="329"/>
      <c r="C84" s="329"/>
      <c r="D84" s="329"/>
      <c r="E84" s="329"/>
      <c r="G84" s="369"/>
      <c r="H84" s="240">
        <f>IF(OR(G56="",FIO="",Z81=""),"",IF(G56="первая","первой","высшей"))</f>
      </c>
      <c r="I84" s="246"/>
      <c r="J84" s="246"/>
      <c r="K84" s="339" t="s">
        <v>443</v>
      </c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X84" s="456"/>
      <c r="Z84" s="366" t="str">
        <f>CONCATENATE(A84,H84,K84)</f>
        <v>предъявляемым к заявленной      квалификационной категории. </v>
      </c>
      <c r="AH84" s="373"/>
    </row>
    <row r="85" spans="1:34" s="168" customFormat="1" ht="9.75" customHeight="1">
      <c r="A85" s="257"/>
      <c r="X85" s="456"/>
      <c r="AH85" s="373"/>
    </row>
    <row r="86" spans="1:34" s="168" customFormat="1" ht="12.75">
      <c r="A86" s="633" t="s">
        <v>646</v>
      </c>
      <c r="X86" s="456"/>
      <c r="Y86" s="167" t="s">
        <v>254</v>
      </c>
      <c r="Z86" s="373">
        <f>'общие сведения'!A127</f>
      </c>
      <c r="AH86" s="373"/>
    </row>
    <row r="87" spans="1:34" ht="12.75" customHeight="1">
      <c r="A87" s="636"/>
      <c r="B87" s="636"/>
      <c r="C87" s="636"/>
      <c r="D87" s="983">
        <f>IF(OR(FIO="",ISERR(Z86)),"",Z86)</f>
      </c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456"/>
      <c r="AH87" s="373"/>
    </row>
    <row r="88" spans="1:34" ht="12.75" customHeight="1">
      <c r="A88" s="636"/>
      <c r="B88" s="636"/>
      <c r="C88" s="636"/>
      <c r="D88" s="983"/>
      <c r="E88" s="983"/>
      <c r="F88" s="983"/>
      <c r="G88" s="983"/>
      <c r="H88" s="983"/>
      <c r="I88" s="983"/>
      <c r="J88" s="983"/>
      <c r="K88" s="983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983"/>
      <c r="X88" s="456"/>
      <c r="AH88" s="373"/>
    </row>
    <row r="89" spans="1:34" ht="3.75" customHeight="1">
      <c r="A89" s="636"/>
      <c r="B89" s="636"/>
      <c r="C89" s="636"/>
      <c r="D89" s="983"/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983"/>
      <c r="X89" s="456"/>
      <c r="AH89" s="373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56"/>
      <c r="AH90" s="373"/>
    </row>
    <row r="91" spans="1:56" ht="15.75" customHeight="1">
      <c r="A91" s="171" t="s">
        <v>50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56"/>
      <c r="Y91" s="181"/>
      <c r="Z91" s="181"/>
      <c r="AA91" s="181"/>
      <c r="AB91" s="181"/>
      <c r="AC91" s="181"/>
      <c r="AD91" s="181"/>
      <c r="AE91" s="181"/>
      <c r="AF91" s="181"/>
      <c r="AG91" s="181"/>
      <c r="AH91" s="373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195</v>
      </c>
      <c r="B92" s="171"/>
      <c r="C92" s="182"/>
      <c r="D92" s="183"/>
      <c r="E92" s="183"/>
      <c r="F92" s="183"/>
      <c r="G92" s="171"/>
      <c r="H92" s="929">
        <f>IF(FIO&lt;&gt;"",IF('общие сведения'!M110&lt;&gt;"",'общие сведения'!M110,""),"")</f>
      </c>
      <c r="I92" s="929"/>
      <c r="J92" s="929"/>
      <c r="K92" s="929"/>
      <c r="L92" s="929"/>
      <c r="M92" s="929"/>
      <c r="N92" s="929"/>
      <c r="O92" s="929"/>
      <c r="P92" s="929"/>
      <c r="Q92" s="929"/>
      <c r="R92" s="929"/>
      <c r="S92" s="929"/>
      <c r="T92" s="929"/>
      <c r="U92" s="929"/>
      <c r="V92" s="929"/>
      <c r="W92" s="929"/>
      <c r="X92" s="456"/>
      <c r="Y92" s="181"/>
      <c r="Z92" s="181"/>
      <c r="AA92" s="181"/>
      <c r="AB92" s="181"/>
      <c r="AC92" s="181"/>
      <c r="AD92" s="181"/>
      <c r="AE92" s="181"/>
      <c r="AF92" s="181"/>
      <c r="AG92" s="181"/>
      <c r="AH92" s="373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275</v>
      </c>
      <c r="B93" s="171"/>
      <c r="C93" s="171"/>
      <c r="D93" s="12"/>
      <c r="E93" s="203"/>
      <c r="F93" s="203"/>
      <c r="G93" s="203"/>
      <c r="H93" s="982" t="s">
        <v>54</v>
      </c>
      <c r="I93" s="982"/>
      <c r="J93" s="982"/>
      <c r="K93" s="982"/>
      <c r="L93" s="982"/>
      <c r="M93" s="982"/>
      <c r="N93" s="982"/>
      <c r="O93" s="982"/>
      <c r="P93" s="982"/>
      <c r="Q93" s="982"/>
      <c r="R93" s="982"/>
      <c r="S93" s="982"/>
      <c r="T93" s="982"/>
      <c r="U93" s="982"/>
      <c r="V93" s="982"/>
      <c r="W93" s="982"/>
      <c r="X93" s="456"/>
      <c r="Y93" s="203"/>
      <c r="Z93" s="203"/>
      <c r="AA93" s="203"/>
      <c r="AB93" s="203"/>
      <c r="AC93" s="203"/>
      <c r="AD93" s="203"/>
      <c r="AE93" s="203"/>
      <c r="AF93" s="203"/>
      <c r="AG93" s="203"/>
      <c r="AH93" s="373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276</v>
      </c>
      <c r="B94" s="171"/>
      <c r="C94" s="171"/>
      <c r="D94" s="183"/>
      <c r="E94" s="183"/>
      <c r="F94" s="183"/>
      <c r="G94" s="171"/>
      <c r="H94" s="929">
        <f>IF(FIO&lt;&gt;"",IF('общие сведения'!M112&lt;&gt;"",'общие сведения'!M112,""),"")</f>
      </c>
      <c r="I94" s="929"/>
      <c r="J94" s="929"/>
      <c r="K94" s="929"/>
      <c r="L94" s="929"/>
      <c r="M94" s="929"/>
      <c r="N94" s="929"/>
      <c r="O94" s="929"/>
      <c r="P94" s="929"/>
      <c r="Q94" s="929"/>
      <c r="R94" s="929"/>
      <c r="S94" s="929"/>
      <c r="T94" s="929"/>
      <c r="U94" s="929"/>
      <c r="V94" s="929"/>
      <c r="W94" s="929"/>
      <c r="X94" s="456"/>
      <c r="AH94" s="373"/>
    </row>
    <row r="95" spans="8:34" ht="13.5">
      <c r="H95" s="982" t="s">
        <v>54</v>
      </c>
      <c r="I95" s="982"/>
      <c r="J95" s="982"/>
      <c r="K95" s="982"/>
      <c r="L95" s="982"/>
      <c r="M95" s="982"/>
      <c r="N95" s="982"/>
      <c r="O95" s="982"/>
      <c r="P95" s="982"/>
      <c r="Q95" s="982"/>
      <c r="R95" s="982"/>
      <c r="S95" s="982"/>
      <c r="T95" s="982"/>
      <c r="U95" s="982"/>
      <c r="V95" s="982"/>
      <c r="W95" s="982"/>
      <c r="X95" s="456"/>
      <c r="AH95" s="373"/>
    </row>
    <row r="96" spans="4:34" ht="12.75">
      <c r="D96" s="139"/>
      <c r="E96" s="139"/>
      <c r="F96" s="139"/>
      <c r="H96" s="929">
        <f>IF(FIO&lt;&gt;"",IF('общие сведения'!M114&lt;&gt;"",'общие сведения'!M114,""),"")</f>
      </c>
      <c r="I96" s="929"/>
      <c r="J96" s="929"/>
      <c r="K96" s="929"/>
      <c r="L96" s="929"/>
      <c r="M96" s="929"/>
      <c r="N96" s="929"/>
      <c r="O96" s="929"/>
      <c r="P96" s="929"/>
      <c r="Q96" s="929"/>
      <c r="R96" s="929"/>
      <c r="S96" s="929"/>
      <c r="T96" s="929"/>
      <c r="U96" s="929"/>
      <c r="V96" s="929"/>
      <c r="W96" s="929"/>
      <c r="X96" s="456"/>
      <c r="AH96" s="373"/>
    </row>
    <row r="97" spans="8:34" ht="13.5">
      <c r="H97" s="965" t="s">
        <v>54</v>
      </c>
      <c r="I97" s="965"/>
      <c r="J97" s="965"/>
      <c r="K97" s="965"/>
      <c r="L97" s="965"/>
      <c r="M97" s="965"/>
      <c r="N97" s="965"/>
      <c r="O97" s="965"/>
      <c r="P97" s="965"/>
      <c r="Q97" s="965"/>
      <c r="R97" s="965"/>
      <c r="S97" s="965"/>
      <c r="T97" s="965"/>
      <c r="U97" s="965"/>
      <c r="V97" s="965"/>
      <c r="W97" s="965"/>
      <c r="X97" s="456"/>
      <c r="AH97" s="373"/>
    </row>
    <row r="98" spans="4:34" ht="12.75" hidden="1">
      <c r="D98" s="139"/>
      <c r="E98" s="139"/>
      <c r="F98" s="139"/>
      <c r="H98" s="929">
        <f>IF(FIO&lt;&gt;"",IF('общие сведения'!M116&lt;&gt;"",'общие сведения'!M116,""),"")</f>
      </c>
      <c r="I98" s="929"/>
      <c r="J98" s="929"/>
      <c r="K98" s="929"/>
      <c r="L98" s="929"/>
      <c r="M98" s="929"/>
      <c r="N98" s="929"/>
      <c r="O98" s="929"/>
      <c r="P98" s="929"/>
      <c r="Q98" s="929"/>
      <c r="R98" s="929"/>
      <c r="S98" s="929"/>
      <c r="T98" s="929"/>
      <c r="U98" s="929"/>
      <c r="V98" s="929"/>
      <c r="W98" s="929"/>
      <c r="X98" s="456"/>
      <c r="AH98" s="373"/>
    </row>
    <row r="99" spans="8:34" ht="13.5" hidden="1">
      <c r="H99" s="965" t="s">
        <v>54</v>
      </c>
      <c r="I99" s="965"/>
      <c r="J99" s="965"/>
      <c r="K99" s="965"/>
      <c r="L99" s="965"/>
      <c r="M99" s="965"/>
      <c r="N99" s="965"/>
      <c r="O99" s="965"/>
      <c r="P99" s="965"/>
      <c r="Q99" s="965"/>
      <c r="R99" s="965"/>
      <c r="S99" s="965"/>
      <c r="T99" s="965"/>
      <c r="U99" s="965"/>
      <c r="V99" s="965"/>
      <c r="W99" s="965"/>
      <c r="X99" s="456"/>
      <c r="AH99" s="373"/>
    </row>
    <row r="100" spans="2:40" ht="12.75">
      <c r="B100" s="171"/>
      <c r="C100" s="853" t="s">
        <v>196</v>
      </c>
      <c r="D100" s="853"/>
      <c r="E100" s="853"/>
      <c r="F100" s="853"/>
      <c r="G100" s="853"/>
      <c r="H100" s="853"/>
      <c r="I100" s="853"/>
      <c r="J100" s="853"/>
      <c r="K100" s="853"/>
      <c r="L100" s="854" t="str">
        <f>'общие сведения'!K119</f>
        <v>« __ » ___________  20__ г.</v>
      </c>
      <c r="M100" s="854"/>
      <c r="N100" s="854"/>
      <c r="O100" s="854"/>
      <c r="P100" s="854"/>
      <c r="Q100" s="854"/>
      <c r="R100" s="854"/>
      <c r="S100" s="321"/>
      <c r="T100" s="321"/>
      <c r="U100" s="321"/>
      <c r="V100" s="321"/>
      <c r="X100" s="456"/>
      <c r="AH100" s="373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56"/>
      <c r="Y101" s="171"/>
      <c r="Z101" s="171"/>
      <c r="AA101" s="171"/>
      <c r="AH101" s="373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56"/>
      <c r="Y102" s="171"/>
      <c r="Z102" s="171"/>
      <c r="AA102" s="171"/>
      <c r="AH102" s="373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56"/>
      <c r="AH103" s="373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56"/>
      <c r="AH104" s="373"/>
    </row>
    <row r="105" spans="4:34" ht="14.25">
      <c r="D105" s="224" t="s">
        <v>197</v>
      </c>
      <c r="X105" s="456"/>
      <c r="AH105" s="373"/>
    </row>
    <row r="106" spans="24:34" ht="3" customHeight="1">
      <c r="X106" s="456"/>
      <c r="AH106" s="373"/>
    </row>
    <row r="107" spans="2:34" ht="12.75">
      <c r="B107" s="5" t="s">
        <v>198</v>
      </c>
      <c r="F107" s="139"/>
      <c r="G107" s="139"/>
      <c r="H107" s="184"/>
      <c r="I107" s="184"/>
      <c r="J107" s="223"/>
      <c r="K107" s="223"/>
      <c r="L107" s="985">
        <f>IF(FIO&lt;&gt;"",FIO,"")</f>
      </c>
      <c r="M107" s="985"/>
      <c r="N107" s="985"/>
      <c r="O107" s="985"/>
      <c r="P107" s="985"/>
      <c r="Q107" s="985"/>
      <c r="R107" s="985"/>
      <c r="S107" s="985"/>
      <c r="T107" s="985"/>
      <c r="U107" s="985"/>
      <c r="V107" s="985"/>
      <c r="W107" s="985"/>
      <c r="X107" s="456"/>
      <c r="AH107" s="373"/>
    </row>
    <row r="108" spans="6:34" ht="12.75" customHeight="1">
      <c r="F108" s="1031" t="s">
        <v>199</v>
      </c>
      <c r="G108" s="1031"/>
      <c r="H108" s="1031"/>
      <c r="I108" s="1031"/>
      <c r="J108" s="186"/>
      <c r="L108" s="965" t="s">
        <v>54</v>
      </c>
      <c r="M108" s="965"/>
      <c r="N108" s="965"/>
      <c r="O108" s="965"/>
      <c r="P108" s="965"/>
      <c r="Q108" s="965"/>
      <c r="R108" s="965"/>
      <c r="S108" s="965"/>
      <c r="T108" s="323"/>
      <c r="U108" s="323"/>
      <c r="V108" s="323"/>
      <c r="W108" s="323"/>
      <c r="X108" s="456"/>
      <c r="AH108" s="373"/>
    </row>
    <row r="109" spans="7:34" ht="5.25" customHeight="1">
      <c r="G109" s="185"/>
      <c r="P109" s="203"/>
      <c r="Q109" s="203"/>
      <c r="R109" s="203"/>
      <c r="X109" s="456"/>
      <c r="AH109" s="373"/>
    </row>
    <row r="110" spans="1:34" ht="15">
      <c r="A110" s="974" t="s">
        <v>200</v>
      </c>
      <c r="B110" s="974"/>
      <c r="C110" s="974"/>
      <c r="D110" s="974"/>
      <c r="E110" s="974"/>
      <c r="F110" s="974"/>
      <c r="G110" s="974"/>
      <c r="H110" s="974"/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S110" s="974"/>
      <c r="T110" s="974"/>
      <c r="U110" s="974"/>
      <c r="V110" s="974"/>
      <c r="W110" s="974"/>
      <c r="X110" s="456"/>
      <c r="Y110" s="187" t="s">
        <v>208</v>
      </c>
      <c r="AA110" s="251" t="s">
        <v>278</v>
      </c>
      <c r="AB110" s="251" t="s">
        <v>209</v>
      </c>
      <c r="AC110" s="284" t="s">
        <v>277</v>
      </c>
      <c r="AE110" s="317" t="s">
        <v>398</v>
      </c>
      <c r="AH110" s="373"/>
    </row>
    <row r="111" spans="1:45" ht="5.25" customHeight="1">
      <c r="A111" s="260"/>
      <c r="X111" s="456"/>
      <c r="AH111" s="373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260</v>
      </c>
      <c r="B112" s="260" t="s">
        <v>201</v>
      </c>
      <c r="X112" s="456"/>
      <c r="Y112" s="291" t="str">
        <f>A112</f>
        <v>1. </v>
      </c>
      <c r="Z112" s="271" t="s">
        <v>280</v>
      </c>
      <c r="AA112" s="268">
        <f>SUM(Y114:Y161)</f>
        <v>0</v>
      </c>
      <c r="AB112" s="269">
        <f>SUM(Z114:Z161)</f>
        <v>100</v>
      </c>
      <c r="AC112" s="318">
        <f>SUM(AA114:AA161)</f>
        <v>60</v>
      </c>
      <c r="AE112" s="317" t="b">
        <f>итого_1&gt;=AC112</f>
        <v>0</v>
      </c>
      <c r="AH112" s="373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55" t="s">
        <v>202</v>
      </c>
      <c r="B113" s="855"/>
      <c r="C113" s="855"/>
      <c r="D113" s="855"/>
      <c r="E113" s="855"/>
      <c r="F113" s="855"/>
      <c r="G113" s="855"/>
      <c r="H113" s="855"/>
      <c r="I113" s="855"/>
      <c r="J113" s="855"/>
      <c r="K113" s="855"/>
      <c r="L113" s="855"/>
      <c r="M113" s="855"/>
      <c r="N113" s="855"/>
      <c r="O113" s="855"/>
      <c r="P113" s="855"/>
      <c r="Q113" s="855"/>
      <c r="R113" s="855"/>
      <c r="S113" s="855"/>
      <c r="T113" s="855"/>
      <c r="U113" s="855"/>
      <c r="V113" s="855"/>
      <c r="W113" s="855"/>
      <c r="X113" s="456"/>
      <c r="AG113" s="12"/>
      <c r="AH113" s="37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203</v>
      </c>
      <c r="B114" s="856" t="s">
        <v>737</v>
      </c>
      <c r="C114" s="856"/>
      <c r="D114" s="856"/>
      <c r="E114" s="856"/>
      <c r="F114" s="856"/>
      <c r="G114" s="856"/>
      <c r="H114" s="856"/>
      <c r="I114" s="856"/>
      <c r="J114" s="856"/>
      <c r="K114" s="856"/>
      <c r="L114" s="856"/>
      <c r="M114" s="856"/>
      <c r="N114" s="856"/>
      <c r="O114" s="856"/>
      <c r="P114" s="856"/>
      <c r="Q114" s="856"/>
      <c r="R114" s="856"/>
      <c r="S114" s="856"/>
      <c r="T114" s="856"/>
      <c r="U114" s="856"/>
      <c r="V114" s="856"/>
      <c r="W114" s="856"/>
      <c r="X114" s="456"/>
      <c r="Z114" s="12"/>
      <c r="AA114" s="12"/>
      <c r="AB114" s="12"/>
      <c r="AC114" s="12"/>
      <c r="AD114" s="12"/>
      <c r="AG114" s="12"/>
      <c r="AH114" s="37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856"/>
      <c r="C115" s="856"/>
      <c r="D115" s="856"/>
      <c r="E115" s="856"/>
      <c r="F115" s="856"/>
      <c r="G115" s="856"/>
      <c r="H115" s="856"/>
      <c r="I115" s="856"/>
      <c r="J115" s="856"/>
      <c r="K115" s="856"/>
      <c r="L115" s="856"/>
      <c r="M115" s="856"/>
      <c r="N115" s="856"/>
      <c r="O115" s="856"/>
      <c r="P115" s="856"/>
      <c r="Q115" s="856"/>
      <c r="R115" s="856"/>
      <c r="S115" s="856"/>
      <c r="T115" s="856"/>
      <c r="U115" s="856"/>
      <c r="V115" s="856"/>
      <c r="W115" s="856"/>
      <c r="X115" s="456"/>
      <c r="Z115" s="12"/>
      <c r="AA115" s="12"/>
      <c r="AB115" s="12"/>
      <c r="AC115" s="12"/>
      <c r="AD115" s="12"/>
      <c r="AG115" s="12"/>
      <c r="AH115" s="37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56"/>
      <c r="C116" s="856"/>
      <c r="D116" s="856"/>
      <c r="E116" s="856"/>
      <c r="F116" s="856"/>
      <c r="G116" s="856"/>
      <c r="H116" s="856"/>
      <c r="I116" s="856"/>
      <c r="J116" s="856"/>
      <c r="K116" s="856"/>
      <c r="L116" s="856"/>
      <c r="M116" s="856"/>
      <c r="N116" s="856"/>
      <c r="O116" s="856"/>
      <c r="P116" s="856"/>
      <c r="Q116" s="856"/>
      <c r="R116" s="856"/>
      <c r="S116" s="856"/>
      <c r="T116" s="856"/>
      <c r="U116" s="856"/>
      <c r="V116" s="856"/>
      <c r="W116" s="856"/>
      <c r="X116" s="456"/>
      <c r="Z116" s="12"/>
      <c r="AA116" s="12"/>
      <c r="AB116" s="12"/>
      <c r="AC116" s="12"/>
      <c r="AD116" s="12"/>
      <c r="AG116" s="12"/>
      <c r="AH116" s="37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856"/>
      <c r="C117" s="856"/>
      <c r="D117" s="856"/>
      <c r="E117" s="856"/>
      <c r="F117" s="856"/>
      <c r="G117" s="856"/>
      <c r="H117" s="856"/>
      <c r="I117" s="856"/>
      <c r="J117" s="856"/>
      <c r="K117" s="856"/>
      <c r="L117" s="856"/>
      <c r="M117" s="856"/>
      <c r="N117" s="856"/>
      <c r="O117" s="856"/>
      <c r="P117" s="856"/>
      <c r="Q117" s="856"/>
      <c r="R117" s="856"/>
      <c r="S117" s="856"/>
      <c r="T117" s="856"/>
      <c r="U117" s="856"/>
      <c r="V117" s="856"/>
      <c r="W117" s="856"/>
      <c r="X117" s="456"/>
      <c r="Z117" s="12"/>
      <c r="AA117" s="12"/>
      <c r="AB117" s="12"/>
      <c r="AC117" s="12"/>
      <c r="AD117" s="12"/>
      <c r="AE117" s="12"/>
      <c r="AF117" s="12"/>
      <c r="AG117" s="12"/>
      <c r="AH117" s="37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203</v>
      </c>
      <c r="B118" s="856" t="s">
        <v>735</v>
      </c>
      <c r="C118" s="856"/>
      <c r="D118" s="856"/>
      <c r="E118" s="856"/>
      <c r="F118" s="856"/>
      <c r="G118" s="856"/>
      <c r="H118" s="856"/>
      <c r="I118" s="856"/>
      <c r="J118" s="856"/>
      <c r="K118" s="856"/>
      <c r="L118" s="856"/>
      <c r="M118" s="856"/>
      <c r="N118" s="856"/>
      <c r="O118" s="856"/>
      <c r="P118" s="856"/>
      <c r="Q118" s="856"/>
      <c r="R118" s="856"/>
      <c r="S118" s="856"/>
      <c r="T118" s="856"/>
      <c r="U118" s="856"/>
      <c r="V118" s="856"/>
      <c r="W118" s="856"/>
      <c r="X118" s="456"/>
      <c r="Z118" s="12"/>
      <c r="AA118" s="12"/>
      <c r="AB118" s="12"/>
      <c r="AC118" s="12"/>
      <c r="AD118" s="12"/>
      <c r="AE118" s="12"/>
      <c r="AF118" s="12"/>
      <c r="AG118" s="12"/>
      <c r="AH118" s="37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856"/>
      <c r="C119" s="856"/>
      <c r="D119" s="856"/>
      <c r="E119" s="856"/>
      <c r="F119" s="856"/>
      <c r="G119" s="856"/>
      <c r="H119" s="856"/>
      <c r="I119" s="856"/>
      <c r="J119" s="856"/>
      <c r="K119" s="856"/>
      <c r="L119" s="856"/>
      <c r="M119" s="856"/>
      <c r="N119" s="856"/>
      <c r="O119" s="856"/>
      <c r="P119" s="856"/>
      <c r="Q119" s="856"/>
      <c r="R119" s="856"/>
      <c r="S119" s="856"/>
      <c r="T119" s="856"/>
      <c r="U119" s="856"/>
      <c r="V119" s="856"/>
      <c r="W119" s="856"/>
      <c r="X119" s="456"/>
      <c r="Z119" s="12"/>
      <c r="AA119" s="12"/>
      <c r="AB119" s="12"/>
      <c r="AC119" s="12"/>
      <c r="AD119" s="12"/>
      <c r="AE119" s="12"/>
      <c r="AF119" s="12"/>
      <c r="AG119" s="12"/>
      <c r="AH119" s="37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856"/>
      <c r="C120" s="856"/>
      <c r="D120" s="856"/>
      <c r="E120" s="856"/>
      <c r="F120" s="856"/>
      <c r="G120" s="856"/>
      <c r="H120" s="856"/>
      <c r="I120" s="856"/>
      <c r="J120" s="856"/>
      <c r="K120" s="856"/>
      <c r="L120" s="856"/>
      <c r="M120" s="856"/>
      <c r="N120" s="856"/>
      <c r="O120" s="856"/>
      <c r="P120" s="856"/>
      <c r="Q120" s="856"/>
      <c r="R120" s="856"/>
      <c r="S120" s="856"/>
      <c r="T120" s="856"/>
      <c r="U120" s="856"/>
      <c r="V120" s="856"/>
      <c r="W120" s="856"/>
      <c r="X120" s="456"/>
      <c r="Z120" s="12"/>
      <c r="AA120" s="12"/>
      <c r="AB120" s="12"/>
      <c r="AC120" s="12"/>
      <c r="AD120" s="12"/>
      <c r="AE120" s="12"/>
      <c r="AF120" s="12"/>
      <c r="AG120" s="12"/>
      <c r="AH120" s="37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9" customHeight="1">
      <c r="B121" s="856"/>
      <c r="C121" s="856"/>
      <c r="D121" s="856"/>
      <c r="E121" s="856"/>
      <c r="F121" s="856"/>
      <c r="G121" s="856"/>
      <c r="H121" s="856"/>
      <c r="I121" s="856"/>
      <c r="J121" s="856"/>
      <c r="K121" s="856"/>
      <c r="L121" s="856"/>
      <c r="M121" s="856"/>
      <c r="N121" s="856"/>
      <c r="O121" s="856"/>
      <c r="P121" s="856"/>
      <c r="Q121" s="856"/>
      <c r="R121" s="856"/>
      <c r="S121" s="856"/>
      <c r="T121" s="856"/>
      <c r="U121" s="856"/>
      <c r="V121" s="856"/>
      <c r="W121" s="856"/>
      <c r="X121" s="456"/>
      <c r="AG121" s="227"/>
      <c r="AH121" s="373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335</v>
      </c>
      <c r="B122" s="986" t="s">
        <v>654</v>
      </c>
      <c r="C122" s="986"/>
      <c r="D122" s="986"/>
      <c r="E122" s="986"/>
      <c r="F122" s="986"/>
      <c r="G122" s="986"/>
      <c r="H122" s="986"/>
      <c r="I122" s="986"/>
      <c r="J122" s="986"/>
      <c r="K122" s="986"/>
      <c r="L122" s="986"/>
      <c r="M122" s="986"/>
      <c r="N122" s="986"/>
      <c r="O122" s="986"/>
      <c r="P122" s="986"/>
      <c r="Q122" s="986"/>
      <c r="R122" s="986"/>
      <c r="S122" s="986"/>
      <c r="T122" s="986"/>
      <c r="U122" s="986"/>
      <c r="V122" s="986"/>
      <c r="W122" s="986"/>
      <c r="X122" s="456"/>
      <c r="AH122" s="373"/>
    </row>
    <row r="123" spans="2:34" ht="12.75">
      <c r="B123" s="986"/>
      <c r="C123" s="986"/>
      <c r="D123" s="986"/>
      <c r="E123" s="986"/>
      <c r="F123" s="986"/>
      <c r="G123" s="986"/>
      <c r="H123" s="986"/>
      <c r="I123" s="986"/>
      <c r="J123" s="986"/>
      <c r="K123" s="986"/>
      <c r="L123" s="986"/>
      <c r="M123" s="986"/>
      <c r="N123" s="986"/>
      <c r="O123" s="986"/>
      <c r="P123" s="986"/>
      <c r="Q123" s="986"/>
      <c r="R123" s="986"/>
      <c r="S123" s="986"/>
      <c r="T123" s="986"/>
      <c r="U123" s="986"/>
      <c r="V123" s="986"/>
      <c r="W123" s="986"/>
      <c r="X123" s="456"/>
      <c r="AH123" s="373"/>
    </row>
    <row r="124" spans="2:45" ht="3" customHeight="1"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456"/>
      <c r="AG124" s="227"/>
      <c r="AH124" s="373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57" t="s">
        <v>204</v>
      </c>
      <c r="B125" s="1032" t="s">
        <v>18</v>
      </c>
      <c r="C125" s="1032"/>
      <c r="D125" s="1032"/>
      <c r="E125" s="769" t="s">
        <v>205</v>
      </c>
      <c r="F125" s="770"/>
      <c r="G125" s="770"/>
      <c r="H125" s="770"/>
      <c r="I125" s="770"/>
      <c r="J125" s="770"/>
      <c r="K125" s="770"/>
      <c r="L125" s="770"/>
      <c r="M125" s="770"/>
      <c r="N125" s="846"/>
      <c r="O125" s="987" t="s">
        <v>206</v>
      </c>
      <c r="P125" s="987"/>
      <c r="Q125" s="987"/>
      <c r="R125" s="987"/>
      <c r="S125" s="987"/>
      <c r="T125" s="987"/>
      <c r="U125" s="987"/>
      <c r="V125" s="987"/>
      <c r="W125" s="987"/>
      <c r="X125" s="456"/>
      <c r="AG125" s="197"/>
      <c r="AH125" s="373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58"/>
      <c r="B126" s="1032"/>
      <c r="C126" s="1032"/>
      <c r="D126" s="1032"/>
      <c r="E126" s="771"/>
      <c r="F126" s="772"/>
      <c r="G126" s="772"/>
      <c r="H126" s="772"/>
      <c r="I126" s="772"/>
      <c r="J126" s="772"/>
      <c r="K126" s="772"/>
      <c r="L126" s="772"/>
      <c r="M126" s="772"/>
      <c r="N126" s="847"/>
      <c r="O126" s="987"/>
      <c r="P126" s="987"/>
      <c r="Q126" s="987"/>
      <c r="R126" s="987"/>
      <c r="S126" s="987"/>
      <c r="T126" s="987"/>
      <c r="U126" s="987"/>
      <c r="V126" s="987"/>
      <c r="W126" s="987"/>
      <c r="X126" s="456"/>
      <c r="AG126" s="12"/>
      <c r="AH126" s="373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59"/>
      <c r="B127" s="1032"/>
      <c r="C127" s="1032"/>
      <c r="D127" s="1032"/>
      <c r="E127" s="773"/>
      <c r="F127" s="774"/>
      <c r="G127" s="774"/>
      <c r="H127" s="774"/>
      <c r="I127" s="774"/>
      <c r="J127" s="774"/>
      <c r="K127" s="774"/>
      <c r="L127" s="774"/>
      <c r="M127" s="774"/>
      <c r="N127" s="848"/>
      <c r="O127" s="916">
        <v>0</v>
      </c>
      <c r="P127" s="917"/>
      <c r="Q127" s="917"/>
      <c r="R127" s="918"/>
      <c r="S127" s="781" t="s">
        <v>229</v>
      </c>
      <c r="T127" s="781"/>
      <c r="U127" s="781"/>
      <c r="V127" s="781"/>
      <c r="W127" s="781"/>
      <c r="X127" s="456"/>
      <c r="AG127" s="12"/>
      <c r="AH127" s="373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336</v>
      </c>
      <c r="B128" s="817" t="s">
        <v>337</v>
      </c>
      <c r="C128" s="826"/>
      <c r="D128" s="826"/>
      <c r="E128" s="817" t="s">
        <v>732</v>
      </c>
      <c r="F128" s="826"/>
      <c r="G128" s="826"/>
      <c r="H128" s="826"/>
      <c r="I128" s="826"/>
      <c r="J128" s="826"/>
      <c r="K128" s="826"/>
      <c r="L128" s="826"/>
      <c r="M128" s="826"/>
      <c r="N128" s="827"/>
      <c r="O128" s="947" t="s">
        <v>669</v>
      </c>
      <c r="P128" s="948"/>
      <c r="Q128" s="948"/>
      <c r="R128" s="949"/>
      <c r="S128" s="947" t="s">
        <v>677</v>
      </c>
      <c r="T128" s="948"/>
      <c r="U128" s="948"/>
      <c r="V128" s="948"/>
      <c r="W128" s="949"/>
      <c r="X128" s="456"/>
      <c r="AG128" s="12"/>
      <c r="AH128" s="373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28"/>
      <c r="C129" s="829"/>
      <c r="D129" s="829"/>
      <c r="E129" s="828"/>
      <c r="F129" s="829"/>
      <c r="G129" s="829"/>
      <c r="H129" s="829"/>
      <c r="I129" s="829"/>
      <c r="J129" s="829"/>
      <c r="K129" s="829"/>
      <c r="L129" s="829"/>
      <c r="M129" s="829"/>
      <c r="N129" s="830"/>
      <c r="O129" s="950"/>
      <c r="P129" s="951"/>
      <c r="Q129" s="951"/>
      <c r="R129" s="952"/>
      <c r="S129" s="950"/>
      <c r="T129" s="951"/>
      <c r="U129" s="951"/>
      <c r="V129" s="951"/>
      <c r="W129" s="952"/>
      <c r="X129" s="456"/>
      <c r="AG129" s="12"/>
      <c r="AH129" s="373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4.25" customHeight="1">
      <c r="A130" s="255"/>
      <c r="B130" s="828"/>
      <c r="C130" s="829"/>
      <c r="D130" s="829"/>
      <c r="E130" s="828"/>
      <c r="F130" s="829"/>
      <c r="G130" s="829"/>
      <c r="H130" s="829"/>
      <c r="I130" s="829"/>
      <c r="J130" s="829"/>
      <c r="K130" s="829"/>
      <c r="L130" s="829"/>
      <c r="M130" s="829"/>
      <c r="N130" s="830"/>
      <c r="O130" s="950"/>
      <c r="P130" s="951"/>
      <c r="Q130" s="951"/>
      <c r="R130" s="952"/>
      <c r="S130" s="950"/>
      <c r="T130" s="951"/>
      <c r="U130" s="951"/>
      <c r="V130" s="951"/>
      <c r="W130" s="952"/>
      <c r="X130" s="456"/>
      <c r="AG130" s="12"/>
      <c r="AH130" s="373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2.75">
      <c r="A131" s="255"/>
      <c r="B131" s="828"/>
      <c r="C131" s="829"/>
      <c r="D131" s="829"/>
      <c r="E131" s="828"/>
      <c r="F131" s="829"/>
      <c r="G131" s="829"/>
      <c r="H131" s="829"/>
      <c r="I131" s="829"/>
      <c r="J131" s="829"/>
      <c r="K131" s="829"/>
      <c r="L131" s="829"/>
      <c r="M131" s="829"/>
      <c r="N131" s="830"/>
      <c r="O131" s="950"/>
      <c r="P131" s="951"/>
      <c r="Q131" s="951"/>
      <c r="R131" s="952"/>
      <c r="S131" s="950"/>
      <c r="T131" s="951"/>
      <c r="U131" s="951"/>
      <c r="V131" s="951"/>
      <c r="W131" s="952"/>
      <c r="X131" s="456"/>
      <c r="AG131" s="12"/>
      <c r="AH131" s="373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28"/>
      <c r="C132" s="829"/>
      <c r="D132" s="829"/>
      <c r="E132" s="828"/>
      <c r="F132" s="829"/>
      <c r="G132" s="829"/>
      <c r="H132" s="829"/>
      <c r="I132" s="829"/>
      <c r="J132" s="829"/>
      <c r="K132" s="829"/>
      <c r="L132" s="829"/>
      <c r="M132" s="829"/>
      <c r="N132" s="830"/>
      <c r="O132" s="950"/>
      <c r="P132" s="951"/>
      <c r="Q132" s="951"/>
      <c r="R132" s="952"/>
      <c r="S132" s="995" t="s">
        <v>334</v>
      </c>
      <c r="T132" s="995"/>
      <c r="U132" s="995"/>
      <c r="V132" s="995"/>
      <c r="W132" s="996"/>
      <c r="X132" s="456"/>
      <c r="AC132" s="343" t="s">
        <v>395</v>
      </c>
      <c r="AG132" s="12"/>
      <c r="AH132" s="373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28"/>
      <c r="C133" s="829"/>
      <c r="D133" s="829"/>
      <c r="E133" s="828"/>
      <c r="F133" s="829"/>
      <c r="G133" s="829"/>
      <c r="H133" s="829"/>
      <c r="I133" s="829"/>
      <c r="J133" s="829"/>
      <c r="K133" s="829"/>
      <c r="L133" s="829"/>
      <c r="M133" s="829"/>
      <c r="N133" s="830"/>
      <c r="O133" s="950"/>
      <c r="P133" s="951"/>
      <c r="Q133" s="951"/>
      <c r="R133" s="952"/>
      <c r="S133" s="945" t="s">
        <v>261</v>
      </c>
      <c r="T133" s="945"/>
      <c r="U133" s="945"/>
      <c r="V133" s="945"/>
      <c r="W133" s="946"/>
      <c r="X133" s="456"/>
      <c r="AC133" s="345">
        <f>G56</f>
      </c>
      <c r="AG133" s="12"/>
      <c r="AH133" s="373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28"/>
      <c r="C134" s="829"/>
      <c r="D134" s="829"/>
      <c r="E134" s="828"/>
      <c r="F134" s="829"/>
      <c r="G134" s="829"/>
      <c r="H134" s="829"/>
      <c r="I134" s="829"/>
      <c r="J134" s="829"/>
      <c r="K134" s="829"/>
      <c r="L134" s="829"/>
      <c r="M134" s="829"/>
      <c r="N134" s="830"/>
      <c r="O134" s="953"/>
      <c r="P134" s="954"/>
      <c r="Q134" s="954"/>
      <c r="R134" s="955"/>
      <c r="S134" s="945" t="s">
        <v>262</v>
      </c>
      <c r="T134" s="945"/>
      <c r="U134" s="945"/>
      <c r="V134" s="945"/>
      <c r="W134" s="946"/>
      <c r="X134" s="456"/>
      <c r="Y134" s="190" t="str">
        <f>IF(AC133="первая","да","нет")</f>
        <v>нет</v>
      </c>
      <c r="AG134" s="12"/>
      <c r="AH134" s="37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255"/>
      <c r="B135" s="828"/>
      <c r="C135" s="829"/>
      <c r="D135" s="829"/>
      <c r="E135" s="811" t="s">
        <v>668</v>
      </c>
      <c r="F135" s="812"/>
      <c r="G135" s="812"/>
      <c r="H135" s="812"/>
      <c r="I135" s="812"/>
      <c r="J135" s="812"/>
      <c r="K135" s="812"/>
      <c r="L135" s="812"/>
      <c r="M135" s="812"/>
      <c r="N135" s="813"/>
      <c r="O135" s="797" t="str">
        <f>IF(Y135=0,IF(OR(FIO="",Y134="нет"),"-",0),"")</f>
        <v>-</v>
      </c>
      <c r="P135" s="797"/>
      <c r="Q135" s="797"/>
      <c r="R135" s="797"/>
      <c r="S135" s="879"/>
      <c r="T135" s="879"/>
      <c r="U135" s="879"/>
      <c r="V135" s="879"/>
      <c r="W135" s="880"/>
      <c r="X135" s="456"/>
      <c r="Y135" s="267">
        <f>SUM(S135)</f>
        <v>0</v>
      </c>
      <c r="AC135" s="343" t="s">
        <v>394</v>
      </c>
      <c r="AD135" s="290" t="str">
        <f>IF(z_kateg="первая",AD136,"-")</f>
        <v>-</v>
      </c>
      <c r="AE135" s="290" t="str">
        <f>IF(z_kateg="первая",AE136,"-")</f>
        <v>-</v>
      </c>
      <c r="AF135" s="290" t="str">
        <f>IF(z_kateg="первая",AF136,"-")</f>
        <v>-</v>
      </c>
      <c r="AG135" s="290" t="str">
        <f>IF(z_kateg="первая",AG136,"-")</f>
        <v>-</v>
      </c>
      <c r="AH135" s="373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56"/>
      <c r="B136" s="831"/>
      <c r="C136" s="832"/>
      <c r="D136" s="832"/>
      <c r="E136" s="814"/>
      <c r="F136" s="815"/>
      <c r="G136" s="815"/>
      <c r="H136" s="815"/>
      <c r="I136" s="815"/>
      <c r="J136" s="815"/>
      <c r="K136" s="815"/>
      <c r="L136" s="815"/>
      <c r="M136" s="815"/>
      <c r="N136" s="816"/>
      <c r="O136" s="797"/>
      <c r="P136" s="797"/>
      <c r="Q136" s="797"/>
      <c r="R136" s="797"/>
      <c r="S136" s="885"/>
      <c r="T136" s="885"/>
      <c r="U136" s="885"/>
      <c r="V136" s="885"/>
      <c r="W136" s="886"/>
      <c r="X136" s="456"/>
      <c r="AC136" s="344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3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338</v>
      </c>
      <c r="B137" s="817" t="s">
        <v>339</v>
      </c>
      <c r="C137" s="826"/>
      <c r="D137" s="826"/>
      <c r="E137" s="817" t="s">
        <v>733</v>
      </c>
      <c r="F137" s="826"/>
      <c r="G137" s="826"/>
      <c r="H137" s="826"/>
      <c r="I137" s="826"/>
      <c r="J137" s="826"/>
      <c r="K137" s="826"/>
      <c r="L137" s="826"/>
      <c r="M137" s="826"/>
      <c r="N137" s="827"/>
      <c r="O137" s="947" t="s">
        <v>670</v>
      </c>
      <c r="P137" s="948"/>
      <c r="Q137" s="948"/>
      <c r="R137" s="949"/>
      <c r="S137" s="947" t="s">
        <v>734</v>
      </c>
      <c r="T137" s="948"/>
      <c r="U137" s="948"/>
      <c r="V137" s="948"/>
      <c r="W137" s="949"/>
      <c r="X137" s="456"/>
      <c r="AG137" s="12"/>
      <c r="AH137" s="373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28"/>
      <c r="C138" s="829"/>
      <c r="D138" s="829"/>
      <c r="E138" s="828"/>
      <c r="F138" s="829"/>
      <c r="G138" s="829"/>
      <c r="H138" s="829"/>
      <c r="I138" s="829"/>
      <c r="J138" s="829"/>
      <c r="K138" s="829"/>
      <c r="L138" s="829"/>
      <c r="M138" s="829"/>
      <c r="N138" s="830"/>
      <c r="O138" s="950"/>
      <c r="P138" s="951"/>
      <c r="Q138" s="951"/>
      <c r="R138" s="952"/>
      <c r="S138" s="950"/>
      <c r="T138" s="951"/>
      <c r="U138" s="951"/>
      <c r="V138" s="951"/>
      <c r="W138" s="952"/>
      <c r="X138" s="456"/>
      <c r="AG138" s="12"/>
      <c r="AH138" s="373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55"/>
      <c r="B139" s="828"/>
      <c r="C139" s="829"/>
      <c r="D139" s="829"/>
      <c r="E139" s="828"/>
      <c r="F139" s="829"/>
      <c r="G139" s="829"/>
      <c r="H139" s="829"/>
      <c r="I139" s="829"/>
      <c r="J139" s="829"/>
      <c r="K139" s="829"/>
      <c r="L139" s="829"/>
      <c r="M139" s="829"/>
      <c r="N139" s="830"/>
      <c r="O139" s="950"/>
      <c r="P139" s="951"/>
      <c r="Q139" s="951"/>
      <c r="R139" s="952"/>
      <c r="S139" s="950"/>
      <c r="T139" s="951"/>
      <c r="U139" s="951"/>
      <c r="V139" s="951"/>
      <c r="W139" s="952"/>
      <c r="X139" s="456"/>
      <c r="AG139" s="12"/>
      <c r="AH139" s="373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>
      <c r="A140" s="255"/>
      <c r="B140" s="828"/>
      <c r="C140" s="829"/>
      <c r="D140" s="829"/>
      <c r="E140" s="828"/>
      <c r="F140" s="829"/>
      <c r="G140" s="829"/>
      <c r="H140" s="829"/>
      <c r="I140" s="829"/>
      <c r="J140" s="829"/>
      <c r="K140" s="829"/>
      <c r="L140" s="829"/>
      <c r="M140" s="829"/>
      <c r="N140" s="830"/>
      <c r="O140" s="950"/>
      <c r="P140" s="951"/>
      <c r="Q140" s="951"/>
      <c r="R140" s="952"/>
      <c r="S140" s="950"/>
      <c r="T140" s="951"/>
      <c r="U140" s="951"/>
      <c r="V140" s="951"/>
      <c r="W140" s="952"/>
      <c r="X140" s="456"/>
      <c r="AG140" s="12"/>
      <c r="AH140" s="373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28"/>
      <c r="C141" s="829"/>
      <c r="D141" s="829"/>
      <c r="E141" s="828"/>
      <c r="F141" s="829"/>
      <c r="G141" s="829"/>
      <c r="H141" s="829"/>
      <c r="I141" s="829"/>
      <c r="J141" s="829"/>
      <c r="K141" s="829"/>
      <c r="L141" s="829"/>
      <c r="M141" s="829"/>
      <c r="N141" s="830"/>
      <c r="O141" s="950"/>
      <c r="P141" s="951"/>
      <c r="Q141" s="951"/>
      <c r="R141" s="952"/>
      <c r="S141" s="995" t="s">
        <v>334</v>
      </c>
      <c r="T141" s="995"/>
      <c r="U141" s="995"/>
      <c r="V141" s="995"/>
      <c r="W141" s="996"/>
      <c r="X141" s="456"/>
      <c r="AG141" s="12"/>
      <c r="AH141" s="373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28"/>
      <c r="C142" s="829"/>
      <c r="D142" s="829"/>
      <c r="E142" s="828"/>
      <c r="F142" s="829"/>
      <c r="G142" s="829"/>
      <c r="H142" s="829"/>
      <c r="I142" s="829"/>
      <c r="J142" s="829"/>
      <c r="K142" s="829"/>
      <c r="L142" s="829"/>
      <c r="M142" s="829"/>
      <c r="N142" s="830"/>
      <c r="O142" s="950"/>
      <c r="P142" s="951"/>
      <c r="Q142" s="951"/>
      <c r="R142" s="952"/>
      <c r="S142" s="945" t="s">
        <v>261</v>
      </c>
      <c r="T142" s="945"/>
      <c r="U142" s="945"/>
      <c r="V142" s="945"/>
      <c r="W142" s="946"/>
      <c r="X142" s="456"/>
      <c r="AG142" s="12"/>
      <c r="AH142" s="373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2" customHeight="1">
      <c r="A143" s="255"/>
      <c r="B143" s="828"/>
      <c r="C143" s="829"/>
      <c r="D143" s="829"/>
      <c r="E143" s="828"/>
      <c r="F143" s="829"/>
      <c r="G143" s="829"/>
      <c r="H143" s="829"/>
      <c r="I143" s="829"/>
      <c r="J143" s="829"/>
      <c r="K143" s="829"/>
      <c r="L143" s="829"/>
      <c r="M143" s="829"/>
      <c r="N143" s="830"/>
      <c r="O143" s="953"/>
      <c r="P143" s="954"/>
      <c r="Q143" s="954"/>
      <c r="R143" s="955"/>
      <c r="S143" s="1035" t="s">
        <v>262</v>
      </c>
      <c r="T143" s="1036"/>
      <c r="U143" s="1036"/>
      <c r="V143" s="1036"/>
      <c r="W143" s="1037"/>
      <c r="X143" s="456"/>
      <c r="Y143" s="190" t="str">
        <f>IF(AC133="высшая","да","нет")</f>
        <v>нет</v>
      </c>
      <c r="AD143" s="189"/>
      <c r="AG143" s="12"/>
      <c r="AH143" s="373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28"/>
      <c r="C144" s="829"/>
      <c r="D144" s="829"/>
      <c r="E144" s="811" t="s">
        <v>668</v>
      </c>
      <c r="F144" s="812"/>
      <c r="G144" s="812"/>
      <c r="H144" s="812"/>
      <c r="I144" s="812"/>
      <c r="J144" s="812"/>
      <c r="K144" s="812"/>
      <c r="L144" s="812"/>
      <c r="M144" s="812"/>
      <c r="N144" s="813"/>
      <c r="O144" s="797" t="str">
        <f>IF(Y144=0,IF(OR(FIO="",Y143="нет"),"-",0),"")</f>
        <v>-</v>
      </c>
      <c r="P144" s="797"/>
      <c r="Q144" s="797"/>
      <c r="R144" s="797"/>
      <c r="S144" s="879"/>
      <c r="T144" s="879"/>
      <c r="U144" s="879"/>
      <c r="V144" s="879"/>
      <c r="W144" s="880"/>
      <c r="X144" s="456"/>
      <c r="Y144" s="267">
        <f>SUM(S144)</f>
        <v>0</v>
      </c>
      <c r="Z144" s="251" t="s">
        <v>209</v>
      </c>
      <c r="AA144" s="252" t="s">
        <v>277</v>
      </c>
      <c r="AC144" s="343" t="s">
        <v>394</v>
      </c>
      <c r="AD144" s="290" t="str">
        <f>IF(z_kateg="высшая",AD136,"-")</f>
        <v>-</v>
      </c>
      <c r="AE144" s="290" t="str">
        <f>IF(z_kateg="высшая",AE136,"-")</f>
        <v>-</v>
      </c>
      <c r="AF144" s="290" t="str">
        <f>IF(z_kateg="высшая",AF136,"-")</f>
        <v>-</v>
      </c>
      <c r="AG144" s="290" t="str">
        <f>IF(z_kateg="высшая",AG136,"-")</f>
        <v>-</v>
      </c>
      <c r="AH144" s="373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831"/>
      <c r="C145" s="832"/>
      <c r="D145" s="832"/>
      <c r="E145" s="814"/>
      <c r="F145" s="815"/>
      <c r="G145" s="815"/>
      <c r="H145" s="815"/>
      <c r="I145" s="815"/>
      <c r="J145" s="815"/>
      <c r="K145" s="815"/>
      <c r="L145" s="815"/>
      <c r="M145" s="815"/>
      <c r="N145" s="816"/>
      <c r="O145" s="797"/>
      <c r="P145" s="797"/>
      <c r="Q145" s="797"/>
      <c r="R145" s="797"/>
      <c r="S145" s="885"/>
      <c r="T145" s="885"/>
      <c r="U145" s="885"/>
      <c r="V145" s="885"/>
      <c r="W145" s="886"/>
      <c r="X145" s="456"/>
      <c r="Z145" s="253">
        <v>100</v>
      </c>
      <c r="AA145" s="270">
        <v>60</v>
      </c>
      <c r="AC145" s="344" t="b">
        <f>OR(S144=0,$S$144="-")</f>
        <v>1</v>
      </c>
      <c r="AD145" s="189"/>
      <c r="AG145" s="12"/>
      <c r="AH145" s="373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6.75" customHeight="1"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456"/>
      <c r="AG146" s="227"/>
      <c r="AH146" s="373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3" t="s">
        <v>340</v>
      </c>
      <c r="B147" s="1024" t="s">
        <v>341</v>
      </c>
      <c r="C147" s="1024"/>
      <c r="D147" s="1024"/>
      <c r="E147" s="1024"/>
      <c r="F147" s="1024"/>
      <c r="G147" s="1024"/>
      <c r="H147" s="1024"/>
      <c r="I147" s="1024"/>
      <c r="J147" s="1024"/>
      <c r="K147" s="1024"/>
      <c r="L147" s="1024"/>
      <c r="M147" s="1024"/>
      <c r="N147" s="1024"/>
      <c r="O147" s="1024"/>
      <c r="P147" s="1024"/>
      <c r="Q147" s="1024"/>
      <c r="R147" s="1024"/>
      <c r="S147" s="1024"/>
      <c r="T147" s="1024"/>
      <c r="U147" s="1024"/>
      <c r="V147" s="1024"/>
      <c r="W147" s="1024"/>
      <c r="X147" s="456"/>
      <c r="AH147" s="373"/>
    </row>
    <row r="148" spans="1:34" ht="12.75" hidden="1">
      <c r="A148" s="654"/>
      <c r="B148" s="1024"/>
      <c r="C148" s="1024"/>
      <c r="D148" s="1024"/>
      <c r="E148" s="1024"/>
      <c r="F148" s="1024"/>
      <c r="G148" s="1024"/>
      <c r="H148" s="1024"/>
      <c r="I148" s="1024"/>
      <c r="J148" s="1024"/>
      <c r="K148" s="1024"/>
      <c r="L148" s="1024"/>
      <c r="M148" s="1024"/>
      <c r="N148" s="1024"/>
      <c r="O148" s="1024"/>
      <c r="P148" s="1024"/>
      <c r="Q148" s="1024"/>
      <c r="R148" s="1024"/>
      <c r="S148" s="1024"/>
      <c r="T148" s="1024"/>
      <c r="U148" s="1024"/>
      <c r="V148" s="1024"/>
      <c r="W148" s="1024"/>
      <c r="X148" s="456"/>
      <c r="AH148" s="373"/>
    </row>
    <row r="149" spans="1:45" ht="3" customHeight="1" hidden="1">
      <c r="A149" s="654"/>
      <c r="B149" s="655"/>
      <c r="C149" s="655"/>
      <c r="D149" s="655"/>
      <c r="E149" s="655"/>
      <c r="F149" s="655"/>
      <c r="G149" s="655"/>
      <c r="H149" s="655"/>
      <c r="I149" s="655"/>
      <c r="J149" s="655"/>
      <c r="K149" s="655"/>
      <c r="L149" s="655"/>
      <c r="M149" s="655"/>
      <c r="N149" s="655"/>
      <c r="O149" s="655"/>
      <c r="P149" s="655"/>
      <c r="Q149" s="655"/>
      <c r="R149" s="655"/>
      <c r="S149" s="655"/>
      <c r="T149" s="655"/>
      <c r="U149" s="655"/>
      <c r="V149" s="655"/>
      <c r="W149" s="655"/>
      <c r="X149" s="456"/>
      <c r="AH149" s="373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887" t="s">
        <v>204</v>
      </c>
      <c r="B150" s="999" t="s">
        <v>205</v>
      </c>
      <c r="C150" s="1000"/>
      <c r="D150" s="1000"/>
      <c r="E150" s="1000"/>
      <c r="F150" s="1000"/>
      <c r="G150" s="1000"/>
      <c r="H150" s="1000"/>
      <c r="I150" s="1000"/>
      <c r="J150" s="1000"/>
      <c r="K150" s="1000"/>
      <c r="L150" s="1000"/>
      <c r="M150" s="1000"/>
      <c r="N150" s="1001"/>
      <c r="O150" s="1038" t="s">
        <v>206</v>
      </c>
      <c r="P150" s="1038"/>
      <c r="Q150" s="1038"/>
      <c r="R150" s="1038"/>
      <c r="S150" s="1038"/>
      <c r="T150" s="1038"/>
      <c r="U150" s="1038"/>
      <c r="V150" s="1038"/>
      <c r="W150" s="1038"/>
      <c r="X150" s="456"/>
      <c r="AH150" s="373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888"/>
      <c r="B151" s="1002"/>
      <c r="C151" s="1003"/>
      <c r="D151" s="1003"/>
      <c r="E151" s="1003"/>
      <c r="F151" s="1003"/>
      <c r="G151" s="1003"/>
      <c r="H151" s="1003"/>
      <c r="I151" s="1003"/>
      <c r="J151" s="1003"/>
      <c r="K151" s="1003"/>
      <c r="L151" s="1003"/>
      <c r="M151" s="1003"/>
      <c r="N151" s="1004"/>
      <c r="O151" s="1038"/>
      <c r="P151" s="1038"/>
      <c r="Q151" s="1038"/>
      <c r="R151" s="1038"/>
      <c r="S151" s="1038"/>
      <c r="T151" s="1038"/>
      <c r="U151" s="1038"/>
      <c r="V151" s="1038"/>
      <c r="W151" s="1038"/>
      <c r="X151" s="456"/>
      <c r="AB151" s="139"/>
      <c r="AH151" s="373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889"/>
      <c r="B152" s="1005"/>
      <c r="C152" s="1006"/>
      <c r="D152" s="1006"/>
      <c r="E152" s="1006"/>
      <c r="F152" s="1006"/>
      <c r="G152" s="1006"/>
      <c r="H152" s="1006"/>
      <c r="I152" s="1006"/>
      <c r="J152" s="1006"/>
      <c r="K152" s="1006"/>
      <c r="L152" s="1006"/>
      <c r="M152" s="1006"/>
      <c r="N152" s="1007"/>
      <c r="O152" s="1025">
        <v>0</v>
      </c>
      <c r="P152" s="1026"/>
      <c r="Q152" s="1026"/>
      <c r="R152" s="1027"/>
      <c r="S152" s="1030" t="s">
        <v>229</v>
      </c>
      <c r="T152" s="1030"/>
      <c r="U152" s="1030"/>
      <c r="V152" s="1030"/>
      <c r="W152" s="1030"/>
      <c r="X152" s="456"/>
      <c r="AB152" s="189"/>
      <c r="AG152" s="12"/>
      <c r="AH152" s="373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56" t="s">
        <v>342</v>
      </c>
      <c r="B153" s="1008" t="s">
        <v>306</v>
      </c>
      <c r="C153" s="1009"/>
      <c r="D153" s="1009"/>
      <c r="E153" s="1009"/>
      <c r="F153" s="1009"/>
      <c r="G153" s="1009"/>
      <c r="H153" s="1009"/>
      <c r="I153" s="1009"/>
      <c r="J153" s="1009"/>
      <c r="K153" s="1009"/>
      <c r="L153" s="1009"/>
      <c r="M153" s="1009"/>
      <c r="N153" s="1010"/>
      <c r="O153" s="931" t="s">
        <v>361</v>
      </c>
      <c r="P153" s="931"/>
      <c r="Q153" s="931"/>
      <c r="R153" s="932"/>
      <c r="S153" s="930" t="s">
        <v>343</v>
      </c>
      <c r="T153" s="931"/>
      <c r="U153" s="931"/>
      <c r="V153" s="931"/>
      <c r="W153" s="932"/>
      <c r="X153" s="456"/>
      <c r="AB153" s="189"/>
      <c r="AH153" s="373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57"/>
      <c r="B154" s="1011"/>
      <c r="C154" s="1012"/>
      <c r="D154" s="1012"/>
      <c r="E154" s="1012"/>
      <c r="F154" s="1012"/>
      <c r="G154" s="1012"/>
      <c r="H154" s="1012"/>
      <c r="I154" s="1012"/>
      <c r="J154" s="1012"/>
      <c r="K154" s="1012"/>
      <c r="L154" s="1012"/>
      <c r="M154" s="1012"/>
      <c r="N154" s="1013"/>
      <c r="O154" s="934"/>
      <c r="P154" s="934"/>
      <c r="Q154" s="934"/>
      <c r="R154" s="935"/>
      <c r="S154" s="933"/>
      <c r="T154" s="934"/>
      <c r="U154" s="934"/>
      <c r="V154" s="934"/>
      <c r="W154" s="935"/>
      <c r="X154" s="456"/>
      <c r="AB154" s="189"/>
      <c r="AH154" s="373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57"/>
      <c r="B155" s="1011"/>
      <c r="C155" s="1012"/>
      <c r="D155" s="1012"/>
      <c r="E155" s="1012"/>
      <c r="F155" s="1012"/>
      <c r="G155" s="1012"/>
      <c r="H155" s="1012"/>
      <c r="I155" s="1012"/>
      <c r="J155" s="1012"/>
      <c r="K155" s="1012"/>
      <c r="L155" s="1012"/>
      <c r="M155" s="1012"/>
      <c r="N155" s="1013"/>
      <c r="O155" s="934"/>
      <c r="P155" s="934"/>
      <c r="Q155" s="934"/>
      <c r="R155" s="935"/>
      <c r="S155" s="933"/>
      <c r="T155" s="934"/>
      <c r="U155" s="934"/>
      <c r="V155" s="934"/>
      <c r="W155" s="935"/>
      <c r="X155" s="456"/>
      <c r="AH155" s="373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57"/>
      <c r="B156" s="1016" t="s">
        <v>307</v>
      </c>
      <c r="C156" s="1017"/>
      <c r="D156" s="1017"/>
      <c r="E156" s="1017"/>
      <c r="F156" s="1017"/>
      <c r="G156" s="1017"/>
      <c r="H156" s="1017"/>
      <c r="I156" s="1017"/>
      <c r="J156" s="1017"/>
      <c r="K156" s="1017"/>
      <c r="L156" s="1017"/>
      <c r="M156" s="1017"/>
      <c r="N156" s="1018"/>
      <c r="O156" s="934"/>
      <c r="P156" s="934"/>
      <c r="Q156" s="934"/>
      <c r="R156" s="935"/>
      <c r="S156" s="936" t="s">
        <v>334</v>
      </c>
      <c r="T156" s="937"/>
      <c r="U156" s="937"/>
      <c r="V156" s="937"/>
      <c r="W156" s="938"/>
      <c r="X156" s="456"/>
      <c r="AB156" s="611"/>
      <c r="AH156" s="373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57"/>
      <c r="B157" s="1016"/>
      <c r="C157" s="1017"/>
      <c r="D157" s="1017"/>
      <c r="E157" s="1017"/>
      <c r="F157" s="1017"/>
      <c r="G157" s="1017"/>
      <c r="H157" s="1017"/>
      <c r="I157" s="1017"/>
      <c r="J157" s="1017"/>
      <c r="K157" s="1017"/>
      <c r="L157" s="1017"/>
      <c r="M157" s="1017"/>
      <c r="N157" s="1018"/>
      <c r="O157" s="934"/>
      <c r="P157" s="934"/>
      <c r="Q157" s="934"/>
      <c r="R157" s="935"/>
      <c r="S157" s="939" t="s">
        <v>261</v>
      </c>
      <c r="T157" s="940"/>
      <c r="U157" s="940"/>
      <c r="V157" s="940"/>
      <c r="W157" s="941"/>
      <c r="X157" s="456"/>
      <c r="AB157" s="611"/>
      <c r="AH157" s="373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57"/>
      <c r="B158" s="1016"/>
      <c r="C158" s="1017"/>
      <c r="D158" s="1017"/>
      <c r="E158" s="1017"/>
      <c r="F158" s="1017"/>
      <c r="G158" s="1017"/>
      <c r="H158" s="1017"/>
      <c r="I158" s="1017"/>
      <c r="J158" s="1017"/>
      <c r="K158" s="1017"/>
      <c r="L158" s="1017"/>
      <c r="M158" s="1017"/>
      <c r="N158" s="1018"/>
      <c r="O158" s="1022"/>
      <c r="P158" s="1022"/>
      <c r="Q158" s="1022"/>
      <c r="R158" s="1023"/>
      <c r="S158" s="942" t="s">
        <v>262</v>
      </c>
      <c r="T158" s="943"/>
      <c r="U158" s="943"/>
      <c r="V158" s="943"/>
      <c r="W158" s="944"/>
      <c r="X158" s="456"/>
      <c r="AD158" s="356" t="s">
        <v>394</v>
      </c>
      <c r="AH158" s="373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57"/>
      <c r="B159" s="1016" t="str">
        <f>'общие сведения'!B25:I25</f>
        <v>(в межаттестационный период мониторинги системы образовния по предмету не проводились)</v>
      </c>
      <c r="C159" s="1017"/>
      <c r="D159" s="1017"/>
      <c r="E159" s="1017"/>
      <c r="F159" s="1017"/>
      <c r="G159" s="1017"/>
      <c r="H159" s="1017"/>
      <c r="I159" s="1017"/>
      <c r="J159" s="1017"/>
      <c r="K159" s="1017"/>
      <c r="L159" s="1017"/>
      <c r="M159" s="1017"/>
      <c r="N159" s="1018"/>
      <c r="O159" s="1028" t="str">
        <f>IF(Y160=0,IF(OR(FIO="",AB160="нет"),"-",0),"")</f>
        <v>-</v>
      </c>
      <c r="P159" s="1029"/>
      <c r="Q159" s="1029"/>
      <c r="R159" s="1029"/>
      <c r="S159" s="834"/>
      <c r="T159" s="835"/>
      <c r="U159" s="835"/>
      <c r="V159" s="835"/>
      <c r="W159" s="836"/>
      <c r="X159" s="456"/>
      <c r="Z159" s="251" t="s">
        <v>209</v>
      </c>
      <c r="AA159" s="252" t="s">
        <v>277</v>
      </c>
      <c r="AB159" s="167" t="s">
        <v>345</v>
      </c>
      <c r="AD159" s="290" t="str">
        <f>IF($AB$160="да",AD136,"-")</f>
        <v>-</v>
      </c>
      <c r="AE159" s="290" t="str">
        <f>IF($AB$160="да",AE136,"-")</f>
        <v>-</v>
      </c>
      <c r="AF159" s="290" t="str">
        <f>IF($AB$160="да",AF136,"-")</f>
        <v>-</v>
      </c>
      <c r="AG159" s="290" t="str">
        <f>IF($AB$160="да",AG136,"-")</f>
        <v>-</v>
      </c>
      <c r="AH159" s="373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58"/>
      <c r="B160" s="1019"/>
      <c r="C160" s="1020"/>
      <c r="D160" s="1020"/>
      <c r="E160" s="1020"/>
      <c r="F160" s="1020"/>
      <c r="G160" s="1020"/>
      <c r="H160" s="1020"/>
      <c r="I160" s="1020"/>
      <c r="J160" s="1020"/>
      <c r="K160" s="1020"/>
      <c r="L160" s="1020"/>
      <c r="M160" s="1020"/>
      <c r="N160" s="1021"/>
      <c r="O160" s="1028"/>
      <c r="P160" s="1029"/>
      <c r="Q160" s="1029"/>
      <c r="R160" s="1029"/>
      <c r="S160" s="837"/>
      <c r="T160" s="838"/>
      <c r="U160" s="838"/>
      <c r="V160" s="838"/>
      <c r="W160" s="839"/>
      <c r="X160" s="456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19" t="str">
        <f>'общие сведения'!K19</f>
        <v>нет</v>
      </c>
      <c r="AC160" s="344" t="b">
        <f>OR(S159=0,$S$159="-")</f>
        <v>1</v>
      </c>
      <c r="AH160" s="373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56"/>
      <c r="AD161" s="189"/>
      <c r="AG161" s="12"/>
      <c r="AH161" s="373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456"/>
      <c r="AA162" s="251" t="s">
        <v>278</v>
      </c>
      <c r="AB162" s="251" t="s">
        <v>209</v>
      </c>
      <c r="AC162" s="284" t="s">
        <v>277</v>
      </c>
      <c r="AD162" s="189"/>
      <c r="AE162" s="317" t="s">
        <v>279</v>
      </c>
      <c r="AH162" s="373"/>
    </row>
    <row r="163" spans="1:45" ht="30" customHeight="1">
      <c r="A163" s="661" t="s">
        <v>263</v>
      </c>
      <c r="B163" s="1034" t="s">
        <v>662</v>
      </c>
      <c r="C163" s="1034"/>
      <c r="D163" s="1034"/>
      <c r="E163" s="1034"/>
      <c r="F163" s="1034"/>
      <c r="G163" s="1034"/>
      <c r="H163" s="1034"/>
      <c r="I163" s="1034"/>
      <c r="J163" s="1034"/>
      <c r="K163" s="1034"/>
      <c r="L163" s="1034"/>
      <c r="M163" s="1034"/>
      <c r="N163" s="1034"/>
      <c r="O163" s="1034"/>
      <c r="P163" s="1034"/>
      <c r="Q163" s="1034"/>
      <c r="R163" s="1034"/>
      <c r="S163" s="1034"/>
      <c r="T163" s="1034"/>
      <c r="U163" s="1034"/>
      <c r="V163" s="1034"/>
      <c r="W163" s="1034"/>
      <c r="X163" s="456"/>
      <c r="Y163" s="291" t="str">
        <f>A163</f>
        <v>2. </v>
      </c>
      <c r="Z163" s="271" t="s">
        <v>284</v>
      </c>
      <c r="AA163" s="268">
        <f>SUM(Y164:Y254)</f>
        <v>0</v>
      </c>
      <c r="AB163" s="269">
        <f>SUM(Z164:Z254)</f>
        <v>370</v>
      </c>
      <c r="AC163" s="318">
        <f>SUM(AA164:AA254)</f>
        <v>20</v>
      </c>
      <c r="AD163" s="189"/>
      <c r="AE163" s="317" t="b">
        <f>итого_2&gt;=AC163</f>
        <v>0</v>
      </c>
      <c r="AH163" s="373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55" t="s">
        <v>202</v>
      </c>
      <c r="B164" s="855"/>
      <c r="C164" s="855"/>
      <c r="D164" s="855"/>
      <c r="E164" s="855"/>
      <c r="F164" s="855"/>
      <c r="G164" s="855"/>
      <c r="H164" s="855"/>
      <c r="I164" s="855"/>
      <c r="J164" s="855"/>
      <c r="K164" s="855"/>
      <c r="L164" s="855"/>
      <c r="M164" s="855"/>
      <c r="N164" s="855"/>
      <c r="O164" s="855"/>
      <c r="P164" s="855"/>
      <c r="Q164" s="855"/>
      <c r="R164" s="855"/>
      <c r="S164" s="855"/>
      <c r="T164" s="855"/>
      <c r="U164" s="855"/>
      <c r="V164" s="855"/>
      <c r="W164" s="855"/>
      <c r="X164" s="456"/>
      <c r="AD164" s="189"/>
      <c r="AH164" s="373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203</v>
      </c>
      <c r="B165" s="856" t="s">
        <v>305</v>
      </c>
      <c r="C165" s="856"/>
      <c r="D165" s="856"/>
      <c r="E165" s="856"/>
      <c r="F165" s="856"/>
      <c r="G165" s="856"/>
      <c r="H165" s="856"/>
      <c r="I165" s="856"/>
      <c r="J165" s="856"/>
      <c r="K165" s="856"/>
      <c r="L165" s="856"/>
      <c r="M165" s="856"/>
      <c r="N165" s="856"/>
      <c r="O165" s="856"/>
      <c r="P165" s="856"/>
      <c r="Q165" s="856"/>
      <c r="R165" s="856"/>
      <c r="S165" s="856"/>
      <c r="T165" s="856"/>
      <c r="U165" s="856"/>
      <c r="V165" s="856"/>
      <c r="W165" s="856"/>
      <c r="X165" s="456"/>
      <c r="AH165" s="373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56"/>
      <c r="C166" s="856"/>
      <c r="D166" s="856"/>
      <c r="E166" s="856"/>
      <c r="F166" s="856"/>
      <c r="G166" s="856"/>
      <c r="H166" s="856"/>
      <c r="I166" s="856"/>
      <c r="J166" s="856"/>
      <c r="K166" s="856"/>
      <c r="L166" s="856"/>
      <c r="M166" s="856"/>
      <c r="N166" s="856"/>
      <c r="O166" s="856"/>
      <c r="P166" s="856"/>
      <c r="Q166" s="856"/>
      <c r="R166" s="856"/>
      <c r="S166" s="856"/>
      <c r="T166" s="856"/>
      <c r="U166" s="856"/>
      <c r="V166" s="856"/>
      <c r="W166" s="856"/>
      <c r="X166" s="456"/>
      <c r="AH166" s="373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56"/>
      <c r="C167" s="856"/>
      <c r="D167" s="856"/>
      <c r="E167" s="856"/>
      <c r="F167" s="856"/>
      <c r="G167" s="856"/>
      <c r="H167" s="856"/>
      <c r="I167" s="856"/>
      <c r="J167" s="856"/>
      <c r="K167" s="856"/>
      <c r="L167" s="856"/>
      <c r="M167" s="856"/>
      <c r="N167" s="856"/>
      <c r="O167" s="856"/>
      <c r="P167" s="856"/>
      <c r="Q167" s="856"/>
      <c r="R167" s="856"/>
      <c r="S167" s="856"/>
      <c r="T167" s="856"/>
      <c r="U167" s="856"/>
      <c r="V167" s="856"/>
      <c r="W167" s="856"/>
      <c r="X167" s="456"/>
      <c r="Z167" s="12"/>
      <c r="AH167" s="373"/>
      <c r="AN167" s="12"/>
      <c r="AO167" s="12"/>
      <c r="AP167" s="12"/>
      <c r="AQ167" s="12"/>
      <c r="AR167" s="12"/>
      <c r="AS167" s="12"/>
    </row>
    <row r="168" spans="1:45" ht="12.75">
      <c r="A168" s="204" t="s">
        <v>203</v>
      </c>
      <c r="B168" s="856" t="s">
        <v>304</v>
      </c>
      <c r="C168" s="856"/>
      <c r="D168" s="856"/>
      <c r="E168" s="856"/>
      <c r="F168" s="856"/>
      <c r="G168" s="856"/>
      <c r="H168" s="856"/>
      <c r="I168" s="856"/>
      <c r="J168" s="856"/>
      <c r="K168" s="856"/>
      <c r="L168" s="856"/>
      <c r="M168" s="856"/>
      <c r="N168" s="856"/>
      <c r="O168" s="856"/>
      <c r="P168" s="856"/>
      <c r="Q168" s="856"/>
      <c r="R168" s="856"/>
      <c r="S168" s="856"/>
      <c r="T168" s="856"/>
      <c r="U168" s="856"/>
      <c r="V168" s="856"/>
      <c r="W168" s="856"/>
      <c r="X168" s="456"/>
      <c r="AH168" s="373"/>
      <c r="AN168" s="12"/>
      <c r="AO168" s="12"/>
      <c r="AP168" s="12"/>
      <c r="AQ168" s="12"/>
      <c r="AR168" s="12"/>
      <c r="AS168" s="12"/>
    </row>
    <row r="169" spans="2:45" ht="12.75">
      <c r="B169" s="856"/>
      <c r="C169" s="856"/>
      <c r="D169" s="856"/>
      <c r="E169" s="856"/>
      <c r="F169" s="856"/>
      <c r="G169" s="856"/>
      <c r="H169" s="856"/>
      <c r="I169" s="856"/>
      <c r="J169" s="856"/>
      <c r="K169" s="856"/>
      <c r="L169" s="856"/>
      <c r="M169" s="856"/>
      <c r="N169" s="856"/>
      <c r="O169" s="856"/>
      <c r="P169" s="856"/>
      <c r="Q169" s="856"/>
      <c r="R169" s="856"/>
      <c r="S169" s="856"/>
      <c r="T169" s="856"/>
      <c r="U169" s="856"/>
      <c r="V169" s="856"/>
      <c r="W169" s="856"/>
      <c r="X169" s="456"/>
      <c r="AH169" s="373"/>
      <c r="AM169" s="12"/>
      <c r="AN169" s="12"/>
      <c r="AO169" s="12"/>
      <c r="AP169" s="12"/>
      <c r="AQ169" s="12"/>
      <c r="AR169" s="12"/>
      <c r="AS169" s="12"/>
    </row>
    <row r="170" spans="2:45" ht="12.75">
      <c r="B170" s="856"/>
      <c r="C170" s="856"/>
      <c r="D170" s="856"/>
      <c r="E170" s="856"/>
      <c r="F170" s="856"/>
      <c r="G170" s="856"/>
      <c r="H170" s="856"/>
      <c r="I170" s="856"/>
      <c r="J170" s="856"/>
      <c r="K170" s="856"/>
      <c r="L170" s="856"/>
      <c r="M170" s="856"/>
      <c r="N170" s="856"/>
      <c r="O170" s="856"/>
      <c r="P170" s="856"/>
      <c r="Q170" s="856"/>
      <c r="R170" s="856"/>
      <c r="S170" s="856"/>
      <c r="T170" s="856"/>
      <c r="U170" s="856"/>
      <c r="V170" s="856"/>
      <c r="W170" s="856"/>
      <c r="X170" s="456"/>
      <c r="AH170" s="373"/>
      <c r="AM170" s="12"/>
      <c r="AN170" s="12"/>
      <c r="AO170" s="12"/>
      <c r="AP170" s="12"/>
      <c r="AQ170" s="12"/>
      <c r="AR170" s="12"/>
      <c r="AS170" s="12"/>
    </row>
    <row r="171" spans="2:34" ht="7.5" customHeight="1">
      <c r="B171" s="856"/>
      <c r="C171" s="856"/>
      <c r="D171" s="856"/>
      <c r="E171" s="856"/>
      <c r="F171" s="856"/>
      <c r="G171" s="856"/>
      <c r="H171" s="856"/>
      <c r="I171" s="856"/>
      <c r="J171" s="856"/>
      <c r="K171" s="856"/>
      <c r="L171" s="856"/>
      <c r="M171" s="856"/>
      <c r="N171" s="856"/>
      <c r="O171" s="856"/>
      <c r="P171" s="856"/>
      <c r="Q171" s="856"/>
      <c r="R171" s="856"/>
      <c r="S171" s="856"/>
      <c r="T171" s="856"/>
      <c r="U171" s="856"/>
      <c r="V171" s="856"/>
      <c r="W171" s="856"/>
      <c r="X171" s="456"/>
      <c r="AH171" s="373"/>
    </row>
    <row r="172" spans="1:34" ht="14.25">
      <c r="A172" s="857" t="s">
        <v>204</v>
      </c>
      <c r="B172" s="769" t="s">
        <v>205</v>
      </c>
      <c r="C172" s="770"/>
      <c r="D172" s="770"/>
      <c r="E172" s="846"/>
      <c r="F172" s="775" t="s">
        <v>206</v>
      </c>
      <c r="G172" s="776"/>
      <c r="H172" s="776"/>
      <c r="I172" s="776"/>
      <c r="J172" s="776"/>
      <c r="K172" s="776"/>
      <c r="L172" s="776"/>
      <c r="M172" s="776"/>
      <c r="N172" s="776"/>
      <c r="O172" s="776"/>
      <c r="P172" s="776"/>
      <c r="Q172" s="776"/>
      <c r="R172" s="776"/>
      <c r="S172" s="776"/>
      <c r="T172" s="776"/>
      <c r="U172" s="776"/>
      <c r="V172" s="776"/>
      <c r="W172" s="777"/>
      <c r="X172" s="456"/>
      <c r="AE172" s="188"/>
      <c r="AF172" s="172"/>
      <c r="AH172" s="373"/>
    </row>
    <row r="173" spans="1:34" ht="14.25" customHeight="1">
      <c r="A173" s="858"/>
      <c r="B173" s="771"/>
      <c r="C173" s="772"/>
      <c r="D173" s="772"/>
      <c r="E173" s="847"/>
      <c r="F173" s="778" t="s">
        <v>211</v>
      </c>
      <c r="G173" s="779"/>
      <c r="H173" s="779"/>
      <c r="I173" s="779"/>
      <c r="J173" s="779"/>
      <c r="K173" s="779"/>
      <c r="L173" s="779"/>
      <c r="M173" s="779"/>
      <c r="N173" s="779"/>
      <c r="O173" s="779"/>
      <c r="P173" s="779"/>
      <c r="Q173" s="779"/>
      <c r="R173" s="779"/>
      <c r="S173" s="779"/>
      <c r="T173" s="779"/>
      <c r="U173" s="779"/>
      <c r="V173" s="779"/>
      <c r="W173" s="780"/>
      <c r="X173" s="456"/>
      <c r="AE173" s="188"/>
      <c r="AF173" s="172"/>
      <c r="AH173" s="373"/>
    </row>
    <row r="174" spans="1:34" ht="14.25" customHeight="1">
      <c r="A174" s="859"/>
      <c r="B174" s="773"/>
      <c r="C174" s="774"/>
      <c r="D174" s="774"/>
      <c r="E174" s="848"/>
      <c r="F174" s="916">
        <v>0</v>
      </c>
      <c r="G174" s="918"/>
      <c r="H174" s="916">
        <v>10</v>
      </c>
      <c r="I174" s="917"/>
      <c r="J174" s="918"/>
      <c r="K174" s="1089" t="s">
        <v>264</v>
      </c>
      <c r="L174" s="1090"/>
      <c r="M174" s="1091"/>
      <c r="N174" s="1089" t="s">
        <v>213</v>
      </c>
      <c r="O174" s="1090"/>
      <c r="P174" s="1091"/>
      <c r="Q174" s="1089" t="s">
        <v>678</v>
      </c>
      <c r="R174" s="1090"/>
      <c r="S174" s="1091"/>
      <c r="T174" s="916" t="s">
        <v>678</v>
      </c>
      <c r="U174" s="917"/>
      <c r="V174" s="917"/>
      <c r="W174" s="918"/>
      <c r="X174" s="456"/>
      <c r="AE174" s="188"/>
      <c r="AF174" s="172"/>
      <c r="AH174" s="373"/>
    </row>
    <row r="175" spans="1:34" ht="12.75">
      <c r="A175" s="849" t="s">
        <v>413</v>
      </c>
      <c r="B175" s="817" t="s">
        <v>686</v>
      </c>
      <c r="C175" s="826"/>
      <c r="D175" s="826"/>
      <c r="E175" s="827"/>
      <c r="F175" s="802" t="s">
        <v>283</v>
      </c>
      <c r="G175" s="804"/>
      <c r="H175" s="802" t="s">
        <v>409</v>
      </c>
      <c r="I175" s="803"/>
      <c r="J175" s="804"/>
      <c r="K175" s="802" t="s">
        <v>671</v>
      </c>
      <c r="L175" s="803"/>
      <c r="M175" s="804"/>
      <c r="N175" s="802" t="s">
        <v>412</v>
      </c>
      <c r="O175" s="803"/>
      <c r="P175" s="804"/>
      <c r="Q175" s="802" t="s">
        <v>411</v>
      </c>
      <c r="R175" s="803"/>
      <c r="S175" s="804"/>
      <c r="T175" s="802" t="s">
        <v>410</v>
      </c>
      <c r="U175" s="803"/>
      <c r="V175" s="803"/>
      <c r="W175" s="804"/>
      <c r="X175" s="456"/>
      <c r="AE175" s="188"/>
      <c r="AF175" s="172"/>
      <c r="AH175" s="373"/>
    </row>
    <row r="176" spans="1:34" ht="12.75">
      <c r="A176" s="850"/>
      <c r="B176" s="828"/>
      <c r="C176" s="829"/>
      <c r="D176" s="829"/>
      <c r="E176" s="830"/>
      <c r="F176" s="805"/>
      <c r="G176" s="807"/>
      <c r="H176" s="805"/>
      <c r="I176" s="806"/>
      <c r="J176" s="807"/>
      <c r="K176" s="805"/>
      <c r="L176" s="806"/>
      <c r="M176" s="807"/>
      <c r="N176" s="805"/>
      <c r="O176" s="806"/>
      <c r="P176" s="807"/>
      <c r="Q176" s="805"/>
      <c r="R176" s="806"/>
      <c r="S176" s="807"/>
      <c r="T176" s="805"/>
      <c r="U176" s="806"/>
      <c r="V176" s="806"/>
      <c r="W176" s="807"/>
      <c r="X176" s="456"/>
      <c r="AE176" s="188"/>
      <c r="AF176" s="172"/>
      <c r="AH176" s="373"/>
    </row>
    <row r="177" spans="1:34" ht="12.75">
      <c r="A177" s="850"/>
      <c r="B177" s="828"/>
      <c r="C177" s="829"/>
      <c r="D177" s="829"/>
      <c r="E177" s="830"/>
      <c r="F177" s="805"/>
      <c r="G177" s="807"/>
      <c r="H177" s="805"/>
      <c r="I177" s="806"/>
      <c r="J177" s="807"/>
      <c r="K177" s="805"/>
      <c r="L177" s="806"/>
      <c r="M177" s="807"/>
      <c r="N177" s="805"/>
      <c r="O177" s="806"/>
      <c r="P177" s="807"/>
      <c r="Q177" s="805"/>
      <c r="R177" s="806"/>
      <c r="S177" s="807"/>
      <c r="T177" s="805"/>
      <c r="U177" s="806"/>
      <c r="V177" s="806"/>
      <c r="W177" s="807"/>
      <c r="X177" s="456"/>
      <c r="AE177" s="188"/>
      <c r="AF177" s="172"/>
      <c r="AH177" s="373"/>
    </row>
    <row r="178" spans="1:34" ht="3.75" customHeight="1">
      <c r="A178" s="850"/>
      <c r="B178" s="828"/>
      <c r="C178" s="829"/>
      <c r="D178" s="829"/>
      <c r="E178" s="830"/>
      <c r="F178" s="805"/>
      <c r="G178" s="807"/>
      <c r="H178" s="989" t="s">
        <v>679</v>
      </c>
      <c r="I178" s="990"/>
      <c r="J178" s="991"/>
      <c r="K178" s="989" t="s">
        <v>680</v>
      </c>
      <c r="L178" s="990"/>
      <c r="M178" s="991"/>
      <c r="N178" s="989" t="s">
        <v>681</v>
      </c>
      <c r="O178" s="990"/>
      <c r="P178" s="991"/>
      <c r="Q178" s="989" t="s">
        <v>682</v>
      </c>
      <c r="R178" s="990"/>
      <c r="S178" s="991"/>
      <c r="T178" s="989" t="s">
        <v>683</v>
      </c>
      <c r="U178" s="990"/>
      <c r="V178" s="990"/>
      <c r="W178" s="991"/>
      <c r="X178" s="456"/>
      <c r="AB178" s="274"/>
      <c r="AE178" s="662"/>
      <c r="AF178" s="663"/>
      <c r="AH178" s="373"/>
    </row>
    <row r="179" spans="1:34" ht="7.5" customHeight="1">
      <c r="A179" s="850"/>
      <c r="B179" s="828"/>
      <c r="C179" s="829"/>
      <c r="D179" s="829"/>
      <c r="E179" s="830"/>
      <c r="F179" s="805"/>
      <c r="G179" s="807"/>
      <c r="H179" s="989"/>
      <c r="I179" s="990"/>
      <c r="J179" s="991"/>
      <c r="K179" s="989"/>
      <c r="L179" s="990"/>
      <c r="M179" s="991"/>
      <c r="N179" s="989"/>
      <c r="O179" s="990"/>
      <c r="P179" s="991"/>
      <c r="Q179" s="989"/>
      <c r="R179" s="990"/>
      <c r="S179" s="991"/>
      <c r="T179" s="989"/>
      <c r="U179" s="990"/>
      <c r="V179" s="990"/>
      <c r="W179" s="991"/>
      <c r="X179" s="456"/>
      <c r="Z179" s="275"/>
      <c r="AE179" s="188"/>
      <c r="AF179" s="172"/>
      <c r="AH179" s="373"/>
    </row>
    <row r="180" spans="1:34" ht="12.75">
      <c r="A180" s="850"/>
      <c r="B180" s="828"/>
      <c r="C180" s="829"/>
      <c r="D180" s="829"/>
      <c r="E180" s="830"/>
      <c r="F180" s="805"/>
      <c r="G180" s="807"/>
      <c r="H180" s="989"/>
      <c r="I180" s="990"/>
      <c r="J180" s="991"/>
      <c r="K180" s="989"/>
      <c r="L180" s="990"/>
      <c r="M180" s="991"/>
      <c r="N180" s="989"/>
      <c r="O180" s="990"/>
      <c r="P180" s="991"/>
      <c r="Q180" s="989"/>
      <c r="R180" s="990"/>
      <c r="S180" s="991"/>
      <c r="T180" s="989"/>
      <c r="U180" s="990"/>
      <c r="V180" s="990"/>
      <c r="W180" s="991"/>
      <c r="X180" s="456"/>
      <c r="Z180" s="275"/>
      <c r="AE180" s="188"/>
      <c r="AF180" s="172"/>
      <c r="AH180" s="373"/>
    </row>
    <row r="181" spans="1:34" ht="12.75">
      <c r="A181" s="850"/>
      <c r="B181" s="1092" t="s">
        <v>282</v>
      </c>
      <c r="C181" s="1093"/>
      <c r="D181" s="1093"/>
      <c r="E181" s="1094"/>
      <c r="F181" s="805"/>
      <c r="G181" s="807"/>
      <c r="H181" s="989"/>
      <c r="I181" s="990"/>
      <c r="J181" s="991"/>
      <c r="K181" s="989"/>
      <c r="L181" s="990"/>
      <c r="M181" s="991"/>
      <c r="N181" s="989"/>
      <c r="O181" s="990"/>
      <c r="P181" s="991"/>
      <c r="Q181" s="989"/>
      <c r="R181" s="990"/>
      <c r="S181" s="991"/>
      <c r="T181" s="989"/>
      <c r="U181" s="990"/>
      <c r="V181" s="990"/>
      <c r="W181" s="991"/>
      <c r="X181" s="456"/>
      <c r="Z181" s="275"/>
      <c r="AE181" s="188"/>
      <c r="AF181" s="172"/>
      <c r="AH181" s="373"/>
    </row>
    <row r="182" spans="1:34" ht="42.75" customHeight="1">
      <c r="A182" s="850"/>
      <c r="B182" s="1095" t="s">
        <v>511</v>
      </c>
      <c r="C182" s="1096"/>
      <c r="D182" s="1096"/>
      <c r="E182" s="1097"/>
      <c r="F182" s="805"/>
      <c r="G182" s="807"/>
      <c r="H182" s="1101"/>
      <c r="I182" s="1102"/>
      <c r="J182" s="1103"/>
      <c r="K182" s="1101" t="s">
        <v>684</v>
      </c>
      <c r="L182" s="1102"/>
      <c r="M182" s="1103"/>
      <c r="N182" s="1101" t="s">
        <v>684</v>
      </c>
      <c r="O182" s="1102"/>
      <c r="P182" s="1103"/>
      <c r="Q182" s="1101" t="s">
        <v>684</v>
      </c>
      <c r="R182" s="1102"/>
      <c r="S182" s="1103"/>
      <c r="T182" s="1101" t="s">
        <v>685</v>
      </c>
      <c r="U182" s="1102"/>
      <c r="V182" s="1102"/>
      <c r="W182" s="1103"/>
      <c r="X182" s="456"/>
      <c r="Z182" s="275"/>
      <c r="AE182" s="188"/>
      <c r="AF182" s="172"/>
      <c r="AH182" s="373"/>
    </row>
    <row r="183" spans="1:34" ht="27.75" customHeight="1">
      <c r="A183" s="850"/>
      <c r="B183" s="1095"/>
      <c r="C183" s="1096"/>
      <c r="D183" s="1096"/>
      <c r="E183" s="1097"/>
      <c r="F183" s="805"/>
      <c r="G183" s="807"/>
      <c r="H183" s="1101"/>
      <c r="I183" s="1102"/>
      <c r="J183" s="1103"/>
      <c r="K183" s="1101"/>
      <c r="L183" s="1102"/>
      <c r="M183" s="1103"/>
      <c r="N183" s="1101"/>
      <c r="O183" s="1102"/>
      <c r="P183" s="1103"/>
      <c r="Q183" s="1101"/>
      <c r="R183" s="1102"/>
      <c r="S183" s="1103"/>
      <c r="T183" s="1101"/>
      <c r="U183" s="1102"/>
      <c r="V183" s="1102"/>
      <c r="W183" s="1103"/>
      <c r="X183" s="456"/>
      <c r="Z183" s="275"/>
      <c r="AE183" s="188"/>
      <c r="AF183" s="172"/>
      <c r="AH183" s="373"/>
    </row>
    <row r="184" spans="1:34" ht="12.75" customHeight="1">
      <c r="A184" s="850"/>
      <c r="B184" s="1095"/>
      <c r="C184" s="1096"/>
      <c r="D184" s="1096"/>
      <c r="E184" s="1097"/>
      <c r="F184" s="808"/>
      <c r="G184" s="810"/>
      <c r="H184" s="1104"/>
      <c r="I184" s="1105"/>
      <c r="J184" s="1106"/>
      <c r="K184" s="1104"/>
      <c r="L184" s="1105"/>
      <c r="M184" s="1106"/>
      <c r="N184" s="1104"/>
      <c r="O184" s="1105"/>
      <c r="P184" s="1106"/>
      <c r="Q184" s="1104"/>
      <c r="R184" s="1105"/>
      <c r="S184" s="1106"/>
      <c r="T184" s="1104"/>
      <c r="U184" s="1105"/>
      <c r="V184" s="1105"/>
      <c r="W184" s="1106"/>
      <c r="X184" s="456"/>
      <c r="AE184" s="188"/>
      <c r="AF184" s="172"/>
      <c r="AH184" s="373"/>
    </row>
    <row r="185" spans="1:34" ht="12.75" customHeight="1">
      <c r="A185" s="850"/>
      <c r="B185" s="1095"/>
      <c r="C185" s="1096"/>
      <c r="D185" s="1096"/>
      <c r="E185" s="1097"/>
      <c r="F185" s="797">
        <f>IF(Y186=0,IF(FIO="","",0),"")</f>
      </c>
      <c r="G185" s="797"/>
      <c r="H185" s="798"/>
      <c r="I185" s="798"/>
      <c r="J185" s="798"/>
      <c r="K185" s="798"/>
      <c r="L185" s="798"/>
      <c r="M185" s="798"/>
      <c r="N185" s="798"/>
      <c r="O185" s="798"/>
      <c r="P185" s="798"/>
      <c r="Q185" s="798"/>
      <c r="R185" s="798"/>
      <c r="S185" s="798"/>
      <c r="T185" s="798"/>
      <c r="U185" s="798"/>
      <c r="V185" s="798"/>
      <c r="W185" s="798"/>
      <c r="X185" s="456"/>
      <c r="Z185" s="251" t="s">
        <v>209</v>
      </c>
      <c r="AA185" s="252" t="s">
        <v>277</v>
      </c>
      <c r="AE185" s="288" t="s">
        <v>3</v>
      </c>
      <c r="AF185" s="289" t="s">
        <v>2</v>
      </c>
      <c r="AH185" s="373"/>
    </row>
    <row r="186" spans="1:34" ht="12.75" customHeight="1">
      <c r="A186" s="851"/>
      <c r="B186" s="1098"/>
      <c r="C186" s="1099"/>
      <c r="D186" s="1099"/>
      <c r="E186" s="1100"/>
      <c r="F186" s="797"/>
      <c r="G186" s="797"/>
      <c r="H186" s="798"/>
      <c r="I186" s="798"/>
      <c r="J186" s="798"/>
      <c r="K186" s="798"/>
      <c r="L186" s="798"/>
      <c r="M186" s="798"/>
      <c r="N186" s="798"/>
      <c r="O186" s="798"/>
      <c r="P186" s="798"/>
      <c r="Q186" s="798"/>
      <c r="R186" s="798"/>
      <c r="S186" s="798"/>
      <c r="T186" s="798"/>
      <c r="U186" s="798"/>
      <c r="V186" s="798"/>
      <c r="W186" s="798"/>
      <c r="X186" s="456"/>
      <c r="Y186" s="267">
        <f>SUM(H185:W186)</f>
        <v>0</v>
      </c>
      <c r="Z186" s="253">
        <v>130</v>
      </c>
      <c r="AA186" s="270">
        <f>IF(z_kateg="высшая",AE186,AF186)</f>
        <v>20</v>
      </c>
      <c r="AE186" s="286">
        <v>30</v>
      </c>
      <c r="AF186" s="287">
        <v>20</v>
      </c>
      <c r="AH186" s="373"/>
    </row>
    <row r="187" spans="1:34" ht="14.25">
      <c r="A187" s="766" t="s">
        <v>204</v>
      </c>
      <c r="B187" s="769" t="s">
        <v>205</v>
      </c>
      <c r="C187" s="770"/>
      <c r="D187" s="770"/>
      <c r="E187" s="770"/>
      <c r="F187" s="770"/>
      <c r="G187" s="770"/>
      <c r="H187" s="770"/>
      <c r="I187" s="775" t="s">
        <v>206</v>
      </c>
      <c r="J187" s="776"/>
      <c r="K187" s="776"/>
      <c r="L187" s="776"/>
      <c r="M187" s="776"/>
      <c r="N187" s="776"/>
      <c r="O187" s="776"/>
      <c r="P187" s="776"/>
      <c r="Q187" s="776"/>
      <c r="R187" s="776"/>
      <c r="S187" s="776"/>
      <c r="T187" s="776"/>
      <c r="U187" s="776"/>
      <c r="V187" s="776"/>
      <c r="W187" s="777"/>
      <c r="X187" s="373"/>
      <c r="AE187" s="659"/>
      <c r="AF187" s="659"/>
      <c r="AH187" s="660"/>
    </row>
    <row r="188" spans="1:34" ht="14.25" customHeight="1">
      <c r="A188" s="767"/>
      <c r="B188" s="771"/>
      <c r="C188" s="772"/>
      <c r="D188" s="772"/>
      <c r="E188" s="772"/>
      <c r="F188" s="772"/>
      <c r="G188" s="772"/>
      <c r="H188" s="772"/>
      <c r="I188" s="778" t="s">
        <v>207</v>
      </c>
      <c r="J188" s="779"/>
      <c r="K188" s="779"/>
      <c r="L188" s="779"/>
      <c r="M188" s="779"/>
      <c r="N188" s="779"/>
      <c r="O188" s="779"/>
      <c r="P188" s="779"/>
      <c r="Q188" s="779"/>
      <c r="R188" s="779"/>
      <c r="S188" s="779"/>
      <c r="T188" s="779"/>
      <c r="U188" s="779"/>
      <c r="V188" s="779"/>
      <c r="W188" s="780"/>
      <c r="X188" s="373"/>
      <c r="AE188" s="659"/>
      <c r="AF188" s="659"/>
      <c r="AH188" s="660"/>
    </row>
    <row r="189" spans="1:34" ht="14.25" customHeight="1">
      <c r="A189" s="768"/>
      <c r="B189" s="773"/>
      <c r="C189" s="774"/>
      <c r="D189" s="774"/>
      <c r="E189" s="774"/>
      <c r="F189" s="774"/>
      <c r="G189" s="774"/>
      <c r="H189" s="774"/>
      <c r="I189" s="781">
        <v>0</v>
      </c>
      <c r="J189" s="781"/>
      <c r="K189" s="781"/>
      <c r="L189" s="781"/>
      <c r="M189" s="781"/>
      <c r="N189" s="781" t="s">
        <v>264</v>
      </c>
      <c r="O189" s="781"/>
      <c r="P189" s="781"/>
      <c r="Q189" s="781"/>
      <c r="R189" s="781"/>
      <c r="S189" s="781">
        <v>30</v>
      </c>
      <c r="T189" s="781"/>
      <c r="U189" s="781"/>
      <c r="V189" s="781"/>
      <c r="W189" s="781"/>
      <c r="X189" s="373"/>
      <c r="AE189" s="659"/>
      <c r="AF189" s="659"/>
      <c r="AH189" s="660"/>
    </row>
    <row r="190" spans="1:34" ht="12.75">
      <c r="A190" s="799" t="s">
        <v>414</v>
      </c>
      <c r="B190" s="817" t="s">
        <v>687</v>
      </c>
      <c r="C190" s="826"/>
      <c r="D190" s="826"/>
      <c r="E190" s="826"/>
      <c r="F190" s="826"/>
      <c r="G190" s="826"/>
      <c r="H190" s="827"/>
      <c r="I190" s="802" t="s">
        <v>656</v>
      </c>
      <c r="J190" s="803"/>
      <c r="K190" s="803"/>
      <c r="L190" s="803"/>
      <c r="M190" s="804"/>
      <c r="N190" s="802" t="s">
        <v>688</v>
      </c>
      <c r="O190" s="803"/>
      <c r="P190" s="803"/>
      <c r="Q190" s="803"/>
      <c r="R190" s="804"/>
      <c r="S190" s="802" t="s">
        <v>689</v>
      </c>
      <c r="T190" s="803"/>
      <c r="U190" s="803"/>
      <c r="V190" s="803"/>
      <c r="W190" s="804"/>
      <c r="X190" s="373"/>
      <c r="AE190" s="659"/>
      <c r="AF190" s="659"/>
      <c r="AH190" s="660"/>
    </row>
    <row r="191" spans="1:34" ht="12.75">
      <c r="A191" s="800"/>
      <c r="B191" s="828"/>
      <c r="C191" s="829"/>
      <c r="D191" s="829"/>
      <c r="E191" s="829"/>
      <c r="F191" s="829"/>
      <c r="G191" s="829"/>
      <c r="H191" s="830"/>
      <c r="I191" s="805"/>
      <c r="J191" s="806"/>
      <c r="K191" s="806"/>
      <c r="L191" s="806"/>
      <c r="M191" s="807"/>
      <c r="N191" s="805"/>
      <c r="O191" s="806"/>
      <c r="P191" s="806"/>
      <c r="Q191" s="806"/>
      <c r="R191" s="807"/>
      <c r="S191" s="805"/>
      <c r="T191" s="806"/>
      <c r="U191" s="806"/>
      <c r="V191" s="806"/>
      <c r="W191" s="807"/>
      <c r="X191" s="373"/>
      <c r="AE191" s="659"/>
      <c r="AF191" s="659"/>
      <c r="AH191" s="660"/>
    </row>
    <row r="192" spans="1:34" ht="0.75" customHeight="1">
      <c r="A192" s="800"/>
      <c r="B192" s="828"/>
      <c r="C192" s="829"/>
      <c r="D192" s="829"/>
      <c r="E192" s="829"/>
      <c r="F192" s="829"/>
      <c r="G192" s="829"/>
      <c r="H192" s="830"/>
      <c r="I192" s="808"/>
      <c r="J192" s="809"/>
      <c r="K192" s="809"/>
      <c r="L192" s="809"/>
      <c r="M192" s="810"/>
      <c r="N192" s="808"/>
      <c r="O192" s="809"/>
      <c r="P192" s="809"/>
      <c r="Q192" s="809"/>
      <c r="R192" s="810"/>
      <c r="S192" s="808"/>
      <c r="T192" s="809"/>
      <c r="U192" s="809"/>
      <c r="V192" s="809"/>
      <c r="W192" s="810"/>
      <c r="X192" s="373"/>
      <c r="Y192" s="12"/>
      <c r="Z192" s="243"/>
      <c r="AB192" s="279"/>
      <c r="AC192" s="12"/>
      <c r="AD192" s="12"/>
      <c r="AE192" s="659"/>
      <c r="AF192" s="659"/>
      <c r="AH192" s="660"/>
    </row>
    <row r="193" spans="1:34" ht="12.75">
      <c r="A193" s="800"/>
      <c r="B193" s="828"/>
      <c r="C193" s="829"/>
      <c r="D193" s="829"/>
      <c r="E193" s="829"/>
      <c r="F193" s="829"/>
      <c r="G193" s="829"/>
      <c r="H193" s="830"/>
      <c r="I193" s="797">
        <f>IF(Y194=0,IF(FIO="","",0),"")</f>
      </c>
      <c r="J193" s="797"/>
      <c r="K193" s="797"/>
      <c r="L193" s="797"/>
      <c r="M193" s="797"/>
      <c r="N193" s="798"/>
      <c r="O193" s="798"/>
      <c r="P193" s="798"/>
      <c r="Q193" s="798"/>
      <c r="R193" s="798"/>
      <c r="S193" s="798"/>
      <c r="T193" s="798"/>
      <c r="U193" s="798"/>
      <c r="V193" s="798"/>
      <c r="W193" s="798"/>
      <c r="X193" s="373"/>
      <c r="Z193" s="251" t="s">
        <v>209</v>
      </c>
      <c r="AE193" s="659"/>
      <c r="AF193" s="659"/>
      <c r="AH193" s="660"/>
    </row>
    <row r="194" spans="1:34" ht="12.75">
      <c r="A194" s="801"/>
      <c r="B194" s="831"/>
      <c r="C194" s="832"/>
      <c r="D194" s="832"/>
      <c r="E194" s="832"/>
      <c r="F194" s="832"/>
      <c r="G194" s="832"/>
      <c r="H194" s="833"/>
      <c r="I194" s="797"/>
      <c r="J194" s="797"/>
      <c r="K194" s="797"/>
      <c r="L194" s="797"/>
      <c r="M194" s="797"/>
      <c r="N194" s="798"/>
      <c r="O194" s="798"/>
      <c r="P194" s="798"/>
      <c r="Q194" s="798"/>
      <c r="R194" s="798"/>
      <c r="S194" s="798"/>
      <c r="T194" s="798"/>
      <c r="U194" s="798"/>
      <c r="V194" s="798"/>
      <c r="W194" s="798"/>
      <c r="X194" s="373"/>
      <c r="Y194" s="267">
        <f>MAX(N193:W194)</f>
        <v>0</v>
      </c>
      <c r="Z194" s="253">
        <v>30</v>
      </c>
      <c r="AE194" s="659"/>
      <c r="AF194" s="659"/>
      <c r="AH194" s="660"/>
    </row>
    <row r="195" spans="1:34" ht="12.75" customHeight="1">
      <c r="A195" s="799" t="s">
        <v>415</v>
      </c>
      <c r="B195" s="817" t="s">
        <v>690</v>
      </c>
      <c r="C195" s="826"/>
      <c r="D195" s="826"/>
      <c r="E195" s="826"/>
      <c r="F195" s="826"/>
      <c r="G195" s="826"/>
      <c r="H195" s="827"/>
      <c r="I195" s="802" t="s">
        <v>656</v>
      </c>
      <c r="J195" s="803"/>
      <c r="K195" s="803"/>
      <c r="L195" s="803"/>
      <c r="M195" s="804"/>
      <c r="N195" s="802" t="s">
        <v>688</v>
      </c>
      <c r="O195" s="803"/>
      <c r="P195" s="803"/>
      <c r="Q195" s="803"/>
      <c r="R195" s="804"/>
      <c r="S195" s="802" t="s">
        <v>689</v>
      </c>
      <c r="T195" s="803"/>
      <c r="U195" s="803"/>
      <c r="V195" s="803"/>
      <c r="W195" s="804"/>
      <c r="X195" s="373"/>
      <c r="AE195" s="659"/>
      <c r="AF195" s="659"/>
      <c r="AH195" s="660"/>
    </row>
    <row r="196" spans="1:34" ht="12.75" customHeight="1">
      <c r="A196" s="800"/>
      <c r="B196" s="828"/>
      <c r="C196" s="829"/>
      <c r="D196" s="829"/>
      <c r="E196" s="829"/>
      <c r="F196" s="829"/>
      <c r="G196" s="829"/>
      <c r="H196" s="830"/>
      <c r="I196" s="805"/>
      <c r="J196" s="806"/>
      <c r="K196" s="806"/>
      <c r="L196" s="806"/>
      <c r="M196" s="807"/>
      <c r="N196" s="805"/>
      <c r="O196" s="806"/>
      <c r="P196" s="806"/>
      <c r="Q196" s="806"/>
      <c r="R196" s="807"/>
      <c r="S196" s="805"/>
      <c r="T196" s="806"/>
      <c r="U196" s="806"/>
      <c r="V196" s="806"/>
      <c r="W196" s="807"/>
      <c r="X196" s="373"/>
      <c r="AE196" s="659"/>
      <c r="AF196" s="659"/>
      <c r="AH196" s="660"/>
    </row>
    <row r="197" spans="1:34" ht="0.75" customHeight="1">
      <c r="A197" s="800"/>
      <c r="B197" s="828"/>
      <c r="C197" s="829"/>
      <c r="D197" s="829"/>
      <c r="E197" s="829"/>
      <c r="F197" s="829"/>
      <c r="G197" s="829"/>
      <c r="H197" s="830"/>
      <c r="I197" s="808"/>
      <c r="J197" s="809"/>
      <c r="K197" s="809"/>
      <c r="L197" s="809"/>
      <c r="M197" s="810"/>
      <c r="N197" s="808"/>
      <c r="O197" s="809"/>
      <c r="P197" s="809"/>
      <c r="Q197" s="809"/>
      <c r="R197" s="810"/>
      <c r="S197" s="808"/>
      <c r="T197" s="809"/>
      <c r="U197" s="809"/>
      <c r="V197" s="809"/>
      <c r="W197" s="810"/>
      <c r="X197" s="373"/>
      <c r="Y197" s="12"/>
      <c r="Z197" s="243"/>
      <c r="AB197" s="279"/>
      <c r="AC197" s="12"/>
      <c r="AD197" s="12"/>
      <c r="AE197" s="659"/>
      <c r="AF197" s="659"/>
      <c r="AH197" s="660"/>
    </row>
    <row r="198" spans="1:34" ht="12.75">
      <c r="A198" s="800"/>
      <c r="B198" s="828"/>
      <c r="C198" s="829"/>
      <c r="D198" s="829"/>
      <c r="E198" s="829"/>
      <c r="F198" s="829"/>
      <c r="G198" s="829"/>
      <c r="H198" s="830"/>
      <c r="I198" s="797">
        <f>IF(Y199=0,IF(FIO="","",0),"")</f>
      </c>
      <c r="J198" s="797"/>
      <c r="K198" s="797"/>
      <c r="L198" s="797"/>
      <c r="M198" s="797"/>
      <c r="N198" s="798"/>
      <c r="O198" s="798"/>
      <c r="P198" s="798"/>
      <c r="Q198" s="798"/>
      <c r="R198" s="798"/>
      <c r="S198" s="798"/>
      <c r="T198" s="798"/>
      <c r="U198" s="798"/>
      <c r="V198" s="798"/>
      <c r="W198" s="798"/>
      <c r="X198" s="373"/>
      <c r="Z198" s="251" t="s">
        <v>209</v>
      </c>
      <c r="AE198" s="659"/>
      <c r="AF198" s="659"/>
      <c r="AH198" s="660"/>
    </row>
    <row r="199" spans="1:34" ht="12.75">
      <c r="A199" s="801"/>
      <c r="B199" s="831"/>
      <c r="C199" s="832"/>
      <c r="D199" s="832"/>
      <c r="E199" s="832"/>
      <c r="F199" s="832"/>
      <c r="G199" s="832"/>
      <c r="H199" s="833"/>
      <c r="I199" s="797"/>
      <c r="J199" s="797"/>
      <c r="K199" s="797"/>
      <c r="L199" s="797"/>
      <c r="M199" s="797"/>
      <c r="N199" s="798"/>
      <c r="O199" s="798"/>
      <c r="P199" s="798"/>
      <c r="Q199" s="798"/>
      <c r="R199" s="798"/>
      <c r="S199" s="798"/>
      <c r="T199" s="798"/>
      <c r="U199" s="798"/>
      <c r="V199" s="798"/>
      <c r="W199" s="798"/>
      <c r="X199" s="373"/>
      <c r="Y199" s="267">
        <f>MAX(N198:W199)</f>
        <v>0</v>
      </c>
      <c r="Z199" s="253">
        <v>30</v>
      </c>
      <c r="AE199" s="659"/>
      <c r="AF199" s="659"/>
      <c r="AH199" s="660"/>
    </row>
    <row r="200" spans="1:34" ht="12.75">
      <c r="A200" s="799" t="s">
        <v>655</v>
      </c>
      <c r="B200" s="817" t="s">
        <v>691</v>
      </c>
      <c r="C200" s="826"/>
      <c r="D200" s="826"/>
      <c r="E200" s="826"/>
      <c r="F200" s="826"/>
      <c r="G200" s="826"/>
      <c r="H200" s="827"/>
      <c r="I200" s="802" t="s">
        <v>656</v>
      </c>
      <c r="J200" s="803"/>
      <c r="K200" s="803"/>
      <c r="L200" s="803"/>
      <c r="M200" s="804"/>
      <c r="N200" s="802" t="s">
        <v>688</v>
      </c>
      <c r="O200" s="803"/>
      <c r="P200" s="803"/>
      <c r="Q200" s="803"/>
      <c r="R200" s="804"/>
      <c r="S200" s="802" t="s">
        <v>657</v>
      </c>
      <c r="T200" s="803"/>
      <c r="U200" s="803"/>
      <c r="V200" s="803"/>
      <c r="W200" s="804"/>
      <c r="X200" s="373"/>
      <c r="AE200" s="659"/>
      <c r="AF200" s="659"/>
      <c r="AH200" s="660"/>
    </row>
    <row r="201" spans="1:34" ht="12.75">
      <c r="A201" s="800"/>
      <c r="B201" s="828"/>
      <c r="C201" s="829"/>
      <c r="D201" s="829"/>
      <c r="E201" s="829"/>
      <c r="F201" s="829"/>
      <c r="G201" s="829"/>
      <c r="H201" s="830"/>
      <c r="I201" s="805"/>
      <c r="J201" s="806"/>
      <c r="K201" s="806"/>
      <c r="L201" s="806"/>
      <c r="M201" s="807"/>
      <c r="N201" s="805"/>
      <c r="O201" s="806"/>
      <c r="P201" s="806"/>
      <c r="Q201" s="806"/>
      <c r="R201" s="807"/>
      <c r="S201" s="805"/>
      <c r="T201" s="806"/>
      <c r="U201" s="806"/>
      <c r="V201" s="806"/>
      <c r="W201" s="807"/>
      <c r="X201" s="373"/>
      <c r="AE201" s="659"/>
      <c r="AF201" s="659"/>
      <c r="AH201" s="660"/>
    </row>
    <row r="202" spans="1:34" ht="12.75" customHeight="1" hidden="1">
      <c r="A202" s="800"/>
      <c r="B202" s="828"/>
      <c r="C202" s="829"/>
      <c r="D202" s="829"/>
      <c r="E202" s="829"/>
      <c r="F202" s="829"/>
      <c r="G202" s="829"/>
      <c r="H202" s="830"/>
      <c r="I202" s="805"/>
      <c r="J202" s="806"/>
      <c r="K202" s="806"/>
      <c r="L202" s="806"/>
      <c r="M202" s="807"/>
      <c r="N202" s="805"/>
      <c r="O202" s="806"/>
      <c r="P202" s="806"/>
      <c r="Q202" s="806"/>
      <c r="R202" s="807"/>
      <c r="S202" s="805"/>
      <c r="T202" s="806"/>
      <c r="U202" s="806"/>
      <c r="V202" s="806"/>
      <c r="W202" s="807"/>
      <c r="X202" s="373"/>
      <c r="AE202" s="659"/>
      <c r="AF202" s="659"/>
      <c r="AH202" s="660"/>
    </row>
    <row r="203" spans="1:34" ht="12.75">
      <c r="A203" s="800"/>
      <c r="B203" s="828"/>
      <c r="C203" s="829"/>
      <c r="D203" s="829"/>
      <c r="E203" s="829"/>
      <c r="F203" s="829"/>
      <c r="G203" s="829"/>
      <c r="H203" s="830"/>
      <c r="I203" s="808"/>
      <c r="J203" s="809"/>
      <c r="K203" s="809"/>
      <c r="L203" s="809"/>
      <c r="M203" s="810"/>
      <c r="N203" s="808"/>
      <c r="O203" s="809"/>
      <c r="P203" s="809"/>
      <c r="Q203" s="809"/>
      <c r="R203" s="810"/>
      <c r="S203" s="808"/>
      <c r="T203" s="809"/>
      <c r="U203" s="809"/>
      <c r="V203" s="809"/>
      <c r="W203" s="810"/>
      <c r="X203" s="373"/>
      <c r="Y203" s="12"/>
      <c r="Z203" s="243"/>
      <c r="AB203" s="279"/>
      <c r="AC203" s="12"/>
      <c r="AD203" s="12"/>
      <c r="AE203" s="659"/>
      <c r="AF203" s="659"/>
      <c r="AH203" s="660"/>
    </row>
    <row r="204" spans="1:34" ht="12.75">
      <c r="A204" s="800"/>
      <c r="B204" s="828"/>
      <c r="C204" s="829"/>
      <c r="D204" s="829"/>
      <c r="E204" s="829"/>
      <c r="F204" s="829"/>
      <c r="G204" s="829"/>
      <c r="H204" s="830"/>
      <c r="I204" s="797">
        <f>IF(Y205=0,IF(FIO="","",0),"")</f>
      </c>
      <c r="J204" s="797"/>
      <c r="K204" s="797"/>
      <c r="L204" s="797"/>
      <c r="M204" s="797"/>
      <c r="N204" s="798"/>
      <c r="O204" s="798"/>
      <c r="P204" s="798"/>
      <c r="Q204" s="798"/>
      <c r="R204" s="798"/>
      <c r="S204" s="798"/>
      <c r="T204" s="798"/>
      <c r="U204" s="798"/>
      <c r="V204" s="798"/>
      <c r="W204" s="798"/>
      <c r="X204" s="373"/>
      <c r="Z204" s="251" t="s">
        <v>209</v>
      </c>
      <c r="AE204" s="659"/>
      <c r="AF204" s="659"/>
      <c r="AH204" s="660"/>
    </row>
    <row r="205" spans="1:34" ht="12.75">
      <c r="A205" s="801"/>
      <c r="B205" s="831"/>
      <c r="C205" s="832"/>
      <c r="D205" s="832"/>
      <c r="E205" s="832"/>
      <c r="F205" s="832"/>
      <c r="G205" s="832"/>
      <c r="H205" s="833"/>
      <c r="I205" s="797"/>
      <c r="J205" s="797"/>
      <c r="K205" s="797"/>
      <c r="L205" s="797"/>
      <c r="M205" s="797"/>
      <c r="N205" s="798"/>
      <c r="O205" s="798"/>
      <c r="P205" s="798"/>
      <c r="Q205" s="798"/>
      <c r="R205" s="798"/>
      <c r="S205" s="798"/>
      <c r="T205" s="798"/>
      <c r="U205" s="798"/>
      <c r="V205" s="798"/>
      <c r="W205" s="798"/>
      <c r="X205" s="373"/>
      <c r="Y205" s="267">
        <f>MAX(N204:W205)</f>
        <v>0</v>
      </c>
      <c r="Z205" s="253">
        <v>30</v>
      </c>
      <c r="AE205" s="659"/>
      <c r="AF205" s="659"/>
      <c r="AH205" s="660"/>
    </row>
    <row r="206" spans="1:34" ht="12.75" customHeight="1">
      <c r="A206" s="799" t="s">
        <v>658</v>
      </c>
      <c r="B206" s="817" t="s">
        <v>692</v>
      </c>
      <c r="C206" s="818"/>
      <c r="D206" s="818"/>
      <c r="E206" s="818"/>
      <c r="F206" s="818"/>
      <c r="G206" s="818"/>
      <c r="H206" s="819"/>
      <c r="I206" s="802" t="s">
        <v>693</v>
      </c>
      <c r="J206" s="803"/>
      <c r="K206" s="803"/>
      <c r="L206" s="803"/>
      <c r="M206" s="804"/>
      <c r="N206" s="802" t="s">
        <v>694</v>
      </c>
      <c r="O206" s="803"/>
      <c r="P206" s="803"/>
      <c r="Q206" s="803"/>
      <c r="R206" s="804"/>
      <c r="S206" s="802" t="s">
        <v>695</v>
      </c>
      <c r="T206" s="803"/>
      <c r="U206" s="803"/>
      <c r="V206" s="803"/>
      <c r="W206" s="804"/>
      <c r="X206" s="373"/>
      <c r="AE206" s="659"/>
      <c r="AF206" s="659"/>
      <c r="AH206" s="660"/>
    </row>
    <row r="207" spans="1:34" ht="12.75" customHeight="1">
      <c r="A207" s="800"/>
      <c r="B207" s="820"/>
      <c r="C207" s="821"/>
      <c r="D207" s="821"/>
      <c r="E207" s="821"/>
      <c r="F207" s="821"/>
      <c r="G207" s="821"/>
      <c r="H207" s="822"/>
      <c r="I207" s="805"/>
      <c r="J207" s="806"/>
      <c r="K207" s="806"/>
      <c r="L207" s="806"/>
      <c r="M207" s="807"/>
      <c r="N207" s="805"/>
      <c r="O207" s="806"/>
      <c r="P207" s="806"/>
      <c r="Q207" s="806"/>
      <c r="R207" s="807"/>
      <c r="S207" s="805"/>
      <c r="T207" s="806"/>
      <c r="U207" s="806"/>
      <c r="V207" s="806"/>
      <c r="W207" s="807"/>
      <c r="X207" s="373"/>
      <c r="AE207" s="659"/>
      <c r="AF207" s="659"/>
      <c r="AH207" s="660"/>
    </row>
    <row r="208" spans="1:34" ht="12.75" customHeight="1">
      <c r="A208" s="800"/>
      <c r="B208" s="820"/>
      <c r="C208" s="821"/>
      <c r="D208" s="821"/>
      <c r="E208" s="821"/>
      <c r="F208" s="821"/>
      <c r="G208" s="821"/>
      <c r="H208" s="822"/>
      <c r="I208" s="805"/>
      <c r="J208" s="806"/>
      <c r="K208" s="806"/>
      <c r="L208" s="806"/>
      <c r="M208" s="807"/>
      <c r="N208" s="805"/>
      <c r="O208" s="806"/>
      <c r="P208" s="806"/>
      <c r="Q208" s="806"/>
      <c r="R208" s="807"/>
      <c r="S208" s="805"/>
      <c r="T208" s="806"/>
      <c r="U208" s="806"/>
      <c r="V208" s="806"/>
      <c r="W208" s="807"/>
      <c r="X208" s="373"/>
      <c r="AE208" s="659"/>
      <c r="AF208" s="659"/>
      <c r="AH208" s="660"/>
    </row>
    <row r="209" spans="1:34" ht="12.75" customHeight="1">
      <c r="A209" s="800"/>
      <c r="B209" s="820"/>
      <c r="C209" s="821"/>
      <c r="D209" s="821"/>
      <c r="E209" s="821"/>
      <c r="F209" s="821"/>
      <c r="G209" s="821"/>
      <c r="H209" s="822"/>
      <c r="I209" s="805"/>
      <c r="J209" s="806"/>
      <c r="K209" s="806"/>
      <c r="L209" s="806"/>
      <c r="M209" s="807"/>
      <c r="N209" s="805"/>
      <c r="O209" s="806"/>
      <c r="P209" s="806"/>
      <c r="Q209" s="806"/>
      <c r="R209" s="807"/>
      <c r="S209" s="805"/>
      <c r="T209" s="806"/>
      <c r="U209" s="806"/>
      <c r="V209" s="806"/>
      <c r="W209" s="807"/>
      <c r="X209" s="373"/>
      <c r="AE209" s="659"/>
      <c r="AF209" s="659"/>
      <c r="AH209" s="660"/>
    </row>
    <row r="210" spans="1:34" ht="12.75" customHeight="1">
      <c r="A210" s="800"/>
      <c r="B210" s="820"/>
      <c r="C210" s="821"/>
      <c r="D210" s="821"/>
      <c r="E210" s="821"/>
      <c r="F210" s="821"/>
      <c r="G210" s="821"/>
      <c r="H210" s="822"/>
      <c r="I210" s="805"/>
      <c r="J210" s="806"/>
      <c r="K210" s="806"/>
      <c r="L210" s="806"/>
      <c r="M210" s="807"/>
      <c r="N210" s="805"/>
      <c r="O210" s="806"/>
      <c r="P210" s="806"/>
      <c r="Q210" s="806"/>
      <c r="R210" s="807"/>
      <c r="S210" s="805"/>
      <c r="T210" s="806"/>
      <c r="U210" s="806"/>
      <c r="V210" s="806"/>
      <c r="W210" s="807"/>
      <c r="X210" s="373"/>
      <c r="AE210" s="659"/>
      <c r="AF210" s="659"/>
      <c r="AH210" s="660"/>
    </row>
    <row r="211" spans="1:34" ht="12.75" customHeight="1">
      <c r="A211" s="800"/>
      <c r="B211" s="820"/>
      <c r="C211" s="821"/>
      <c r="D211" s="821"/>
      <c r="E211" s="821"/>
      <c r="F211" s="821"/>
      <c r="G211" s="821"/>
      <c r="H211" s="822"/>
      <c r="I211" s="808"/>
      <c r="J211" s="809"/>
      <c r="K211" s="809"/>
      <c r="L211" s="809"/>
      <c r="M211" s="810"/>
      <c r="N211" s="808"/>
      <c r="O211" s="809"/>
      <c r="P211" s="809"/>
      <c r="Q211" s="809"/>
      <c r="R211" s="810"/>
      <c r="S211" s="808"/>
      <c r="T211" s="809"/>
      <c r="U211" s="809"/>
      <c r="V211" s="809"/>
      <c r="W211" s="810"/>
      <c r="X211" s="373"/>
      <c r="Y211" s="12"/>
      <c r="Z211" s="243"/>
      <c r="AB211" s="279"/>
      <c r="AC211" s="12"/>
      <c r="AD211" s="12"/>
      <c r="AE211" s="659"/>
      <c r="AF211" s="659"/>
      <c r="AH211" s="660"/>
    </row>
    <row r="212" spans="1:34" ht="12.75" customHeight="1">
      <c r="A212" s="800"/>
      <c r="B212" s="811" t="s">
        <v>282</v>
      </c>
      <c r="C212" s="821"/>
      <c r="D212" s="821"/>
      <c r="E212" s="821"/>
      <c r="F212" s="821"/>
      <c r="G212" s="821"/>
      <c r="H212" s="822"/>
      <c r="I212" s="797">
        <f>IF(Y213=0,IF(FIO="","",0),"")</f>
      </c>
      <c r="J212" s="797"/>
      <c r="K212" s="797"/>
      <c r="L212" s="797"/>
      <c r="M212" s="797"/>
      <c r="N212" s="798"/>
      <c r="O212" s="798"/>
      <c r="P212" s="798"/>
      <c r="Q212" s="798"/>
      <c r="R212" s="798"/>
      <c r="S212" s="798"/>
      <c r="T212" s="798"/>
      <c r="U212" s="798"/>
      <c r="V212" s="798"/>
      <c r="W212" s="798"/>
      <c r="X212" s="373"/>
      <c r="Z212" s="251" t="s">
        <v>209</v>
      </c>
      <c r="AE212" s="659"/>
      <c r="AF212" s="659"/>
      <c r="AH212" s="660"/>
    </row>
    <row r="213" spans="1:34" ht="12.75" customHeight="1">
      <c r="A213" s="801"/>
      <c r="B213" s="823"/>
      <c r="C213" s="824"/>
      <c r="D213" s="824"/>
      <c r="E213" s="824"/>
      <c r="F213" s="824"/>
      <c r="G213" s="824"/>
      <c r="H213" s="825"/>
      <c r="I213" s="797"/>
      <c r="J213" s="797"/>
      <c r="K213" s="797"/>
      <c r="L213" s="797"/>
      <c r="M213" s="797"/>
      <c r="N213" s="798"/>
      <c r="O213" s="798"/>
      <c r="P213" s="798"/>
      <c r="Q213" s="798"/>
      <c r="R213" s="798"/>
      <c r="S213" s="798"/>
      <c r="T213" s="798"/>
      <c r="U213" s="798"/>
      <c r="V213" s="798"/>
      <c r="W213" s="798"/>
      <c r="X213" s="373"/>
      <c r="Y213" s="267">
        <f>MAX(N212:W213)</f>
        <v>0</v>
      </c>
      <c r="Z213" s="253">
        <v>30</v>
      </c>
      <c r="AE213" s="659"/>
      <c r="AF213" s="659"/>
      <c r="AH213" s="660"/>
    </row>
    <row r="214" spans="1:45" ht="13.5">
      <c r="A214" s="354"/>
      <c r="B214" s="273"/>
      <c r="C214" s="273"/>
      <c r="D214" s="273"/>
      <c r="E214" s="272"/>
      <c r="F214" s="272"/>
      <c r="G214" s="272"/>
      <c r="H214" s="272"/>
      <c r="I214" s="272"/>
      <c r="J214" s="272"/>
      <c r="K214" s="272"/>
      <c r="T214" s="272"/>
      <c r="U214" s="272"/>
      <c r="V214" s="272"/>
      <c r="W214" s="272"/>
      <c r="X214" s="456"/>
      <c r="AH214" s="373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5" customHeight="1">
      <c r="A215" s="1107" t="s">
        <v>210</v>
      </c>
      <c r="B215" s="1109" t="s">
        <v>666</v>
      </c>
      <c r="C215" s="1109"/>
      <c r="D215" s="1109"/>
      <c r="E215" s="1109"/>
      <c r="F215" s="1109"/>
      <c r="G215" s="1109"/>
      <c r="H215" s="1109"/>
      <c r="I215" s="1109"/>
      <c r="J215" s="1109"/>
      <c r="K215" s="1109"/>
      <c r="L215" s="1109"/>
      <c r="M215" s="1109"/>
      <c r="N215" s="1109"/>
      <c r="O215" s="1109"/>
      <c r="P215" s="1109"/>
      <c r="Q215" s="1109"/>
      <c r="R215" s="1109"/>
      <c r="S215" s="1109"/>
      <c r="T215" s="1109"/>
      <c r="U215" s="1109"/>
      <c r="V215" s="1109"/>
      <c r="W215" s="1109"/>
      <c r="X215" s="456"/>
      <c r="AD215" s="189"/>
      <c r="AG215" s="12"/>
      <c r="AH215" s="373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6" customHeight="1">
      <c r="A216" s="1108"/>
      <c r="B216" s="1109"/>
      <c r="C216" s="1109"/>
      <c r="D216" s="1109"/>
      <c r="E216" s="1109"/>
      <c r="F216" s="1109"/>
      <c r="G216" s="1109"/>
      <c r="H216" s="1109"/>
      <c r="I216" s="1109"/>
      <c r="J216" s="1109"/>
      <c r="K216" s="1109"/>
      <c r="L216" s="1109"/>
      <c r="M216" s="1109"/>
      <c r="N216" s="1109"/>
      <c r="O216" s="1109"/>
      <c r="P216" s="1109"/>
      <c r="Q216" s="1109"/>
      <c r="R216" s="1109"/>
      <c r="S216" s="1109"/>
      <c r="T216" s="1109"/>
      <c r="U216" s="1109"/>
      <c r="V216" s="1109"/>
      <c r="W216" s="1109"/>
      <c r="X216" s="456"/>
      <c r="AD216" s="189"/>
      <c r="AG216" s="12"/>
      <c r="AH216" s="373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4.5" customHeight="1" hidden="1">
      <c r="A217" s="1108"/>
      <c r="B217" s="1109"/>
      <c r="C217" s="1109"/>
      <c r="D217" s="1109"/>
      <c r="E217" s="1109"/>
      <c r="F217" s="1109"/>
      <c r="G217" s="1109"/>
      <c r="H217" s="1109"/>
      <c r="I217" s="1109"/>
      <c r="J217" s="1109"/>
      <c r="K217" s="1109"/>
      <c r="L217" s="1109"/>
      <c r="M217" s="1109"/>
      <c r="N217" s="1109"/>
      <c r="O217" s="1109"/>
      <c r="P217" s="1109"/>
      <c r="Q217" s="1109"/>
      <c r="R217" s="1109"/>
      <c r="S217" s="1109"/>
      <c r="T217" s="1109"/>
      <c r="U217" s="1109"/>
      <c r="V217" s="1109"/>
      <c r="W217" s="1109"/>
      <c r="X217" s="456"/>
      <c r="AD217" s="189"/>
      <c r="AG217" s="12"/>
      <c r="AH217" s="373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2.75" customHeight="1">
      <c r="A218" s="1108"/>
      <c r="B218" s="1110" t="s">
        <v>664</v>
      </c>
      <c r="C218" s="1110"/>
      <c r="D218" s="1110"/>
      <c r="E218" s="1110"/>
      <c r="F218" s="1110"/>
      <c r="G218" s="1110"/>
      <c r="H218" s="1110"/>
      <c r="I218" s="1110"/>
      <c r="J218" s="1110"/>
      <c r="K218" s="1110"/>
      <c r="L218" s="1110"/>
      <c r="M218" s="1110"/>
      <c r="N218" s="1110"/>
      <c r="O218" s="1110"/>
      <c r="P218" s="1110"/>
      <c r="Q218" s="1110"/>
      <c r="R218" s="1110"/>
      <c r="S218" s="1110"/>
      <c r="T218" s="1110"/>
      <c r="U218" s="1110"/>
      <c r="V218" s="1110"/>
      <c r="W218" s="1110"/>
      <c r="X218" s="456"/>
      <c r="AD218" s="189"/>
      <c r="AG218" s="12"/>
      <c r="AH218" s="373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3.5" customHeight="1">
      <c r="A219" s="1108"/>
      <c r="B219" s="1110"/>
      <c r="C219" s="1110"/>
      <c r="D219" s="1110"/>
      <c r="E219" s="1110"/>
      <c r="F219" s="1110"/>
      <c r="G219" s="1110"/>
      <c r="H219" s="1110"/>
      <c r="I219" s="1110"/>
      <c r="J219" s="1110"/>
      <c r="K219" s="1110"/>
      <c r="L219" s="1110"/>
      <c r="M219" s="1110"/>
      <c r="N219" s="1110"/>
      <c r="O219" s="1110"/>
      <c r="P219" s="1110"/>
      <c r="Q219" s="1110"/>
      <c r="R219" s="1110"/>
      <c r="S219" s="1110"/>
      <c r="T219" s="1110"/>
      <c r="U219" s="1110"/>
      <c r="V219" s="1110"/>
      <c r="W219" s="1110"/>
      <c r="X219" s="456"/>
      <c r="AD219" s="189"/>
      <c r="AG219" s="12"/>
      <c r="AH219" s="373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3.5" customHeight="1">
      <c r="A220" s="1108"/>
      <c r="B220" s="1110"/>
      <c r="C220" s="1110"/>
      <c r="D220" s="1110"/>
      <c r="E220" s="1110"/>
      <c r="F220" s="1110"/>
      <c r="G220" s="1110"/>
      <c r="H220" s="1110"/>
      <c r="I220" s="1110"/>
      <c r="J220" s="1110"/>
      <c r="K220" s="1110"/>
      <c r="L220" s="1110"/>
      <c r="M220" s="1110"/>
      <c r="N220" s="1110"/>
      <c r="O220" s="1110"/>
      <c r="P220" s="1110"/>
      <c r="Q220" s="1110"/>
      <c r="R220" s="1110"/>
      <c r="S220" s="1110"/>
      <c r="T220" s="1110"/>
      <c r="U220" s="1110"/>
      <c r="V220" s="1110"/>
      <c r="W220" s="1110"/>
      <c r="X220" s="456"/>
      <c r="AD220" s="189"/>
      <c r="AG220" s="12"/>
      <c r="AH220" s="373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13.5" customHeight="1">
      <c r="A221" s="1108"/>
      <c r="B221" s="1110"/>
      <c r="C221" s="1110"/>
      <c r="D221" s="1110"/>
      <c r="E221" s="1110"/>
      <c r="F221" s="1110"/>
      <c r="G221" s="1110"/>
      <c r="H221" s="1110"/>
      <c r="I221" s="1110"/>
      <c r="J221" s="1110"/>
      <c r="K221" s="1110"/>
      <c r="L221" s="1110"/>
      <c r="M221" s="1110"/>
      <c r="N221" s="1110"/>
      <c r="O221" s="1110"/>
      <c r="P221" s="1110"/>
      <c r="Q221" s="1110"/>
      <c r="R221" s="1110"/>
      <c r="S221" s="1110"/>
      <c r="T221" s="1110"/>
      <c r="U221" s="1110"/>
      <c r="V221" s="1110"/>
      <c r="W221" s="1110"/>
      <c r="X221" s="456"/>
      <c r="AD221" s="189"/>
      <c r="AG221" s="12"/>
      <c r="AH221" s="373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45" ht="12.75" customHeight="1">
      <c r="A222" s="1108"/>
      <c r="B222" s="1110"/>
      <c r="C222" s="1110"/>
      <c r="D222" s="1110"/>
      <c r="E222" s="1110"/>
      <c r="F222" s="1110"/>
      <c r="G222" s="1110"/>
      <c r="H222" s="1110"/>
      <c r="I222" s="1110"/>
      <c r="J222" s="1110"/>
      <c r="K222" s="1110"/>
      <c r="L222" s="1110"/>
      <c r="M222" s="1110"/>
      <c r="N222" s="1110"/>
      <c r="O222" s="1110"/>
      <c r="P222" s="1110"/>
      <c r="Q222" s="1110"/>
      <c r="R222" s="1110"/>
      <c r="S222" s="1110"/>
      <c r="T222" s="1110"/>
      <c r="U222" s="1110"/>
      <c r="V222" s="1110"/>
      <c r="W222" s="1110"/>
      <c r="X222" s="456"/>
      <c r="AD222" s="189"/>
      <c r="AG222" s="12"/>
      <c r="AH222" s="373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4.25" customHeight="1">
      <c r="A223" s="1108"/>
      <c r="B223" s="1110" t="s">
        <v>665</v>
      </c>
      <c r="C223" s="1110"/>
      <c r="D223" s="1110"/>
      <c r="E223" s="1110"/>
      <c r="F223" s="1110"/>
      <c r="G223" s="1110"/>
      <c r="H223" s="1110"/>
      <c r="I223" s="1110"/>
      <c r="J223" s="1110"/>
      <c r="K223" s="1110"/>
      <c r="L223" s="1110"/>
      <c r="M223" s="1110"/>
      <c r="N223" s="1110"/>
      <c r="O223" s="1110"/>
      <c r="P223" s="1110"/>
      <c r="Q223" s="1110"/>
      <c r="R223" s="1110"/>
      <c r="S223" s="1110"/>
      <c r="T223" s="1110"/>
      <c r="U223" s="1110"/>
      <c r="V223" s="1110"/>
      <c r="W223" s="1110"/>
      <c r="X223" s="456"/>
      <c r="AD223" s="189"/>
      <c r="AG223" s="12"/>
      <c r="AH223" s="373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14.25" customHeight="1">
      <c r="A224" s="1108"/>
      <c r="B224" s="1110"/>
      <c r="C224" s="1110"/>
      <c r="D224" s="1110"/>
      <c r="E224" s="1110"/>
      <c r="F224" s="1110"/>
      <c r="G224" s="1110"/>
      <c r="H224" s="1110"/>
      <c r="I224" s="1110"/>
      <c r="J224" s="1110"/>
      <c r="K224" s="1110"/>
      <c r="L224" s="1110"/>
      <c r="M224" s="1110"/>
      <c r="N224" s="1110"/>
      <c r="O224" s="1110"/>
      <c r="P224" s="1110"/>
      <c r="Q224" s="1110"/>
      <c r="R224" s="1110"/>
      <c r="S224" s="1110"/>
      <c r="T224" s="1110"/>
      <c r="U224" s="1110"/>
      <c r="V224" s="1110"/>
      <c r="W224" s="1110"/>
      <c r="X224" s="456"/>
      <c r="AD224" s="189"/>
      <c r="AG224" s="12"/>
      <c r="AH224" s="373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14.25" customHeight="1">
      <c r="A225" s="1108"/>
      <c r="B225" s="1110"/>
      <c r="C225" s="1110"/>
      <c r="D225" s="1110"/>
      <c r="E225" s="1110"/>
      <c r="F225" s="1110"/>
      <c r="G225" s="1110"/>
      <c r="H225" s="1110"/>
      <c r="I225" s="1110"/>
      <c r="J225" s="1110"/>
      <c r="K225" s="1110"/>
      <c r="L225" s="1110"/>
      <c r="M225" s="1110"/>
      <c r="N225" s="1110"/>
      <c r="O225" s="1110"/>
      <c r="P225" s="1110"/>
      <c r="Q225" s="1110"/>
      <c r="R225" s="1110"/>
      <c r="S225" s="1110"/>
      <c r="T225" s="1110"/>
      <c r="U225" s="1110"/>
      <c r="V225" s="1110"/>
      <c r="W225" s="1110"/>
      <c r="X225" s="456"/>
      <c r="AD225" s="189"/>
      <c r="AG225" s="12"/>
      <c r="AH225" s="373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34" ht="14.25">
      <c r="A226" s="766" t="s">
        <v>204</v>
      </c>
      <c r="B226" s="769" t="s">
        <v>205</v>
      </c>
      <c r="C226" s="770"/>
      <c r="D226" s="770"/>
      <c r="E226" s="770"/>
      <c r="F226" s="770"/>
      <c r="G226" s="770"/>
      <c r="H226" s="770"/>
      <c r="I226" s="775" t="s">
        <v>206</v>
      </c>
      <c r="J226" s="776"/>
      <c r="K226" s="776"/>
      <c r="L226" s="776"/>
      <c r="M226" s="776"/>
      <c r="N226" s="776"/>
      <c r="O226" s="776"/>
      <c r="P226" s="776"/>
      <c r="Q226" s="776"/>
      <c r="R226" s="776"/>
      <c r="S226" s="776"/>
      <c r="T226" s="776"/>
      <c r="U226" s="776"/>
      <c r="V226" s="776"/>
      <c r="W226" s="777"/>
      <c r="X226" s="373"/>
      <c r="AE226" s="659"/>
      <c r="AF226" s="659"/>
      <c r="AH226" s="660"/>
    </row>
    <row r="227" spans="1:34" ht="12.75">
      <c r="A227" s="767"/>
      <c r="B227" s="771"/>
      <c r="C227" s="772"/>
      <c r="D227" s="772"/>
      <c r="E227" s="772"/>
      <c r="F227" s="772"/>
      <c r="G227" s="772"/>
      <c r="H227" s="772"/>
      <c r="I227" s="778" t="s">
        <v>207</v>
      </c>
      <c r="J227" s="779"/>
      <c r="K227" s="779"/>
      <c r="L227" s="779"/>
      <c r="M227" s="779"/>
      <c r="N227" s="779"/>
      <c r="O227" s="779"/>
      <c r="P227" s="779"/>
      <c r="Q227" s="779"/>
      <c r="R227" s="779"/>
      <c r="S227" s="779"/>
      <c r="T227" s="779"/>
      <c r="U227" s="779"/>
      <c r="V227" s="779"/>
      <c r="W227" s="780"/>
      <c r="X227" s="373"/>
      <c r="AE227" s="659"/>
      <c r="AF227" s="659"/>
      <c r="AH227" s="660"/>
    </row>
    <row r="228" spans="1:34" ht="14.25" customHeight="1">
      <c r="A228" s="768"/>
      <c r="B228" s="773"/>
      <c r="C228" s="774"/>
      <c r="D228" s="774"/>
      <c r="E228" s="774"/>
      <c r="F228" s="774"/>
      <c r="G228" s="774"/>
      <c r="H228" s="774"/>
      <c r="I228" s="781">
        <v>0</v>
      </c>
      <c r="J228" s="781"/>
      <c r="K228" s="781"/>
      <c r="L228" s="781"/>
      <c r="M228" s="781"/>
      <c r="N228" s="781" t="s">
        <v>264</v>
      </c>
      <c r="O228" s="781"/>
      <c r="P228" s="781"/>
      <c r="Q228" s="781"/>
      <c r="R228" s="781"/>
      <c r="S228" s="781">
        <v>30</v>
      </c>
      <c r="T228" s="781"/>
      <c r="U228" s="781"/>
      <c r="V228" s="781"/>
      <c r="W228" s="781"/>
      <c r="X228" s="373"/>
      <c r="AE228" s="659"/>
      <c r="AF228" s="659"/>
      <c r="AH228" s="660"/>
    </row>
    <row r="229" spans="1:34" ht="12.75" customHeight="1">
      <c r="A229" s="799" t="s">
        <v>659</v>
      </c>
      <c r="B229" s="817" t="s">
        <v>696</v>
      </c>
      <c r="C229" s="826"/>
      <c r="D229" s="826"/>
      <c r="E229" s="826"/>
      <c r="F229" s="826"/>
      <c r="G229" s="826"/>
      <c r="H229" s="827"/>
      <c r="I229" s="802" t="s">
        <v>693</v>
      </c>
      <c r="J229" s="803"/>
      <c r="K229" s="803"/>
      <c r="L229" s="803"/>
      <c r="M229" s="804"/>
      <c r="N229" s="802" t="s">
        <v>694</v>
      </c>
      <c r="O229" s="803"/>
      <c r="P229" s="803"/>
      <c r="Q229" s="803"/>
      <c r="R229" s="804"/>
      <c r="S229" s="802" t="s">
        <v>695</v>
      </c>
      <c r="T229" s="803"/>
      <c r="U229" s="803"/>
      <c r="V229" s="803"/>
      <c r="W229" s="804"/>
      <c r="X229" s="373"/>
      <c r="AE229" s="659"/>
      <c r="AF229" s="659"/>
      <c r="AH229" s="660"/>
    </row>
    <row r="230" spans="1:34" ht="12.75" customHeight="1">
      <c r="A230" s="800"/>
      <c r="B230" s="828"/>
      <c r="C230" s="829"/>
      <c r="D230" s="829"/>
      <c r="E230" s="829"/>
      <c r="F230" s="829"/>
      <c r="G230" s="829"/>
      <c r="H230" s="830"/>
      <c r="I230" s="805"/>
      <c r="J230" s="806"/>
      <c r="K230" s="806"/>
      <c r="L230" s="806"/>
      <c r="M230" s="807"/>
      <c r="N230" s="805"/>
      <c r="O230" s="806"/>
      <c r="P230" s="806"/>
      <c r="Q230" s="806"/>
      <c r="R230" s="807"/>
      <c r="S230" s="805"/>
      <c r="T230" s="806"/>
      <c r="U230" s="806"/>
      <c r="V230" s="806"/>
      <c r="W230" s="807"/>
      <c r="X230" s="373"/>
      <c r="AE230" s="659"/>
      <c r="AF230" s="659"/>
      <c r="AH230" s="660"/>
    </row>
    <row r="231" spans="1:34" ht="12.75" customHeight="1">
      <c r="A231" s="800"/>
      <c r="B231" s="828"/>
      <c r="C231" s="829"/>
      <c r="D231" s="829"/>
      <c r="E231" s="829"/>
      <c r="F231" s="829"/>
      <c r="G231" s="829"/>
      <c r="H231" s="830"/>
      <c r="I231" s="805"/>
      <c r="J231" s="806"/>
      <c r="K231" s="806"/>
      <c r="L231" s="806"/>
      <c r="M231" s="807"/>
      <c r="N231" s="805"/>
      <c r="O231" s="806"/>
      <c r="P231" s="806"/>
      <c r="Q231" s="806"/>
      <c r="R231" s="807"/>
      <c r="S231" s="805"/>
      <c r="T231" s="806"/>
      <c r="U231" s="806"/>
      <c r="V231" s="806"/>
      <c r="W231" s="807"/>
      <c r="X231" s="373"/>
      <c r="AE231" s="659"/>
      <c r="AF231" s="659"/>
      <c r="AH231" s="660"/>
    </row>
    <row r="232" spans="1:34" ht="12.75" customHeight="1">
      <c r="A232" s="800"/>
      <c r="B232" s="828"/>
      <c r="C232" s="829"/>
      <c r="D232" s="829"/>
      <c r="E232" s="829"/>
      <c r="F232" s="829"/>
      <c r="G232" s="829"/>
      <c r="H232" s="830"/>
      <c r="I232" s="805"/>
      <c r="J232" s="806"/>
      <c r="K232" s="806"/>
      <c r="L232" s="806"/>
      <c r="M232" s="807"/>
      <c r="N232" s="805"/>
      <c r="O232" s="806"/>
      <c r="P232" s="806"/>
      <c r="Q232" s="806"/>
      <c r="R232" s="807"/>
      <c r="S232" s="805"/>
      <c r="T232" s="806"/>
      <c r="U232" s="806"/>
      <c r="V232" s="806"/>
      <c r="W232" s="807"/>
      <c r="X232" s="373"/>
      <c r="AE232" s="659"/>
      <c r="AF232" s="659"/>
      <c r="AH232" s="660"/>
    </row>
    <row r="233" spans="1:34" ht="12.75" customHeight="1">
      <c r="A233" s="800"/>
      <c r="B233" s="811" t="s">
        <v>282</v>
      </c>
      <c r="C233" s="812"/>
      <c r="D233" s="812"/>
      <c r="E233" s="812"/>
      <c r="F233" s="812"/>
      <c r="G233" s="812"/>
      <c r="H233" s="813"/>
      <c r="I233" s="805"/>
      <c r="J233" s="806"/>
      <c r="K233" s="806"/>
      <c r="L233" s="806"/>
      <c r="M233" s="807"/>
      <c r="N233" s="805"/>
      <c r="O233" s="806"/>
      <c r="P233" s="806"/>
      <c r="Q233" s="806"/>
      <c r="R233" s="807"/>
      <c r="S233" s="805"/>
      <c r="T233" s="806"/>
      <c r="U233" s="806"/>
      <c r="V233" s="806"/>
      <c r="W233" s="807"/>
      <c r="X233" s="373"/>
      <c r="AE233" s="659"/>
      <c r="AF233" s="659"/>
      <c r="AH233" s="660"/>
    </row>
    <row r="234" spans="1:34" ht="12.75" customHeight="1">
      <c r="A234" s="800"/>
      <c r="B234" s="811"/>
      <c r="C234" s="812"/>
      <c r="D234" s="812"/>
      <c r="E234" s="812"/>
      <c r="F234" s="812"/>
      <c r="G234" s="812"/>
      <c r="H234" s="813"/>
      <c r="I234" s="808"/>
      <c r="J234" s="809"/>
      <c r="K234" s="809"/>
      <c r="L234" s="809"/>
      <c r="M234" s="810"/>
      <c r="N234" s="808"/>
      <c r="O234" s="809"/>
      <c r="P234" s="809"/>
      <c r="Q234" s="809"/>
      <c r="R234" s="810"/>
      <c r="S234" s="808"/>
      <c r="T234" s="809"/>
      <c r="U234" s="809"/>
      <c r="V234" s="809"/>
      <c r="W234" s="810"/>
      <c r="X234" s="373"/>
      <c r="Y234" s="12"/>
      <c r="Z234" s="243"/>
      <c r="AB234" s="279"/>
      <c r="AC234" s="12"/>
      <c r="AD234" s="12"/>
      <c r="AE234" s="659"/>
      <c r="AF234" s="659"/>
      <c r="AH234" s="660"/>
    </row>
    <row r="235" spans="1:34" ht="12.75" customHeight="1">
      <c r="A235" s="800"/>
      <c r="B235" s="811"/>
      <c r="C235" s="812"/>
      <c r="D235" s="812"/>
      <c r="E235" s="812"/>
      <c r="F235" s="812"/>
      <c r="G235" s="812"/>
      <c r="H235" s="813"/>
      <c r="I235" s="797">
        <f>IF(Y236=0,IF(FIO="","",0),"")</f>
      </c>
      <c r="J235" s="797"/>
      <c r="K235" s="797"/>
      <c r="L235" s="797"/>
      <c r="M235" s="797"/>
      <c r="N235" s="798"/>
      <c r="O235" s="798"/>
      <c r="P235" s="798"/>
      <c r="Q235" s="798"/>
      <c r="R235" s="798"/>
      <c r="S235" s="798"/>
      <c r="T235" s="798"/>
      <c r="U235" s="798"/>
      <c r="V235" s="798"/>
      <c r="W235" s="798"/>
      <c r="X235" s="373"/>
      <c r="Z235" s="251" t="s">
        <v>209</v>
      </c>
      <c r="AE235" s="659"/>
      <c r="AF235" s="659"/>
      <c r="AH235" s="660"/>
    </row>
    <row r="236" spans="1:34" ht="12.75" customHeight="1">
      <c r="A236" s="801"/>
      <c r="B236" s="814"/>
      <c r="C236" s="815"/>
      <c r="D236" s="815"/>
      <c r="E236" s="815"/>
      <c r="F236" s="815"/>
      <c r="G236" s="815"/>
      <c r="H236" s="816"/>
      <c r="I236" s="797"/>
      <c r="J236" s="797"/>
      <c r="K236" s="797"/>
      <c r="L236" s="797"/>
      <c r="M236" s="797"/>
      <c r="N236" s="798"/>
      <c r="O236" s="798"/>
      <c r="P236" s="798"/>
      <c r="Q236" s="798"/>
      <c r="R236" s="798"/>
      <c r="S236" s="798"/>
      <c r="T236" s="798"/>
      <c r="U236" s="798"/>
      <c r="V236" s="798"/>
      <c r="W236" s="798"/>
      <c r="X236" s="373"/>
      <c r="Y236" s="267">
        <f>MAX(N235:W236)</f>
        <v>0</v>
      </c>
      <c r="Z236" s="253">
        <v>30</v>
      </c>
      <c r="AE236" s="659"/>
      <c r="AF236" s="659"/>
      <c r="AH236" s="660"/>
    </row>
    <row r="237" spans="1:34" ht="12.75" customHeight="1">
      <c r="A237" s="799" t="s">
        <v>660</v>
      </c>
      <c r="B237" s="817" t="s">
        <v>698</v>
      </c>
      <c r="C237" s="826"/>
      <c r="D237" s="826"/>
      <c r="E237" s="826"/>
      <c r="F237" s="826"/>
      <c r="G237" s="826"/>
      <c r="H237" s="827"/>
      <c r="I237" s="802" t="s">
        <v>701</v>
      </c>
      <c r="J237" s="803"/>
      <c r="K237" s="803"/>
      <c r="L237" s="803"/>
      <c r="M237" s="804"/>
      <c r="N237" s="802" t="s">
        <v>703</v>
      </c>
      <c r="O237" s="803"/>
      <c r="P237" s="803"/>
      <c r="Q237" s="803"/>
      <c r="R237" s="804"/>
      <c r="S237" s="802" t="s">
        <v>702</v>
      </c>
      <c r="T237" s="803"/>
      <c r="U237" s="803"/>
      <c r="V237" s="803"/>
      <c r="W237" s="804"/>
      <c r="X237" s="373"/>
      <c r="AE237" s="659"/>
      <c r="AF237" s="659"/>
      <c r="AH237" s="660"/>
    </row>
    <row r="238" spans="1:34" ht="12.75" customHeight="1">
      <c r="A238" s="800"/>
      <c r="B238" s="828"/>
      <c r="C238" s="829"/>
      <c r="D238" s="829"/>
      <c r="E238" s="829"/>
      <c r="F238" s="829"/>
      <c r="G238" s="829"/>
      <c r="H238" s="830"/>
      <c r="I238" s="805"/>
      <c r="J238" s="806"/>
      <c r="K238" s="806"/>
      <c r="L238" s="806"/>
      <c r="M238" s="807"/>
      <c r="N238" s="805"/>
      <c r="O238" s="806"/>
      <c r="P238" s="806"/>
      <c r="Q238" s="806"/>
      <c r="R238" s="807"/>
      <c r="S238" s="805"/>
      <c r="T238" s="806"/>
      <c r="U238" s="806"/>
      <c r="V238" s="806"/>
      <c r="W238" s="807"/>
      <c r="X238" s="373"/>
      <c r="AE238" s="659"/>
      <c r="AF238" s="659"/>
      <c r="AH238" s="660"/>
    </row>
    <row r="239" spans="1:34" ht="12.75">
      <c r="A239" s="800"/>
      <c r="B239" s="828"/>
      <c r="C239" s="829"/>
      <c r="D239" s="829"/>
      <c r="E239" s="829"/>
      <c r="F239" s="829"/>
      <c r="G239" s="829"/>
      <c r="H239" s="830"/>
      <c r="I239" s="808"/>
      <c r="J239" s="809"/>
      <c r="K239" s="809"/>
      <c r="L239" s="809"/>
      <c r="M239" s="810"/>
      <c r="N239" s="808"/>
      <c r="O239" s="809"/>
      <c r="P239" s="809"/>
      <c r="Q239" s="809"/>
      <c r="R239" s="810"/>
      <c r="S239" s="808"/>
      <c r="T239" s="809"/>
      <c r="U239" s="809"/>
      <c r="V239" s="809"/>
      <c r="W239" s="810"/>
      <c r="X239" s="373"/>
      <c r="Y239" s="12"/>
      <c r="Z239" s="243"/>
      <c r="AB239" s="279"/>
      <c r="AC239" s="12"/>
      <c r="AD239" s="12"/>
      <c r="AE239" s="659"/>
      <c r="AF239" s="659"/>
      <c r="AH239" s="660"/>
    </row>
    <row r="240" spans="1:34" ht="12.75">
      <c r="A240" s="800"/>
      <c r="B240" s="828"/>
      <c r="C240" s="829"/>
      <c r="D240" s="829"/>
      <c r="E240" s="829"/>
      <c r="F240" s="829"/>
      <c r="G240" s="829"/>
      <c r="H240" s="830"/>
      <c r="I240" s="797">
        <f>IF(Y241=0,IF(FIO="","",0),"")</f>
      </c>
      <c r="J240" s="797"/>
      <c r="K240" s="797"/>
      <c r="L240" s="797"/>
      <c r="M240" s="797"/>
      <c r="N240" s="798"/>
      <c r="O240" s="798"/>
      <c r="P240" s="798"/>
      <c r="Q240" s="798"/>
      <c r="R240" s="798"/>
      <c r="S240" s="798"/>
      <c r="T240" s="798"/>
      <c r="U240" s="798"/>
      <c r="V240" s="798"/>
      <c r="W240" s="798"/>
      <c r="X240" s="373"/>
      <c r="Z240" s="251" t="s">
        <v>209</v>
      </c>
      <c r="AE240" s="659"/>
      <c r="AF240" s="659"/>
      <c r="AH240" s="660"/>
    </row>
    <row r="241" spans="1:34" ht="12.75">
      <c r="A241" s="801"/>
      <c r="B241" s="831"/>
      <c r="C241" s="832"/>
      <c r="D241" s="832"/>
      <c r="E241" s="832"/>
      <c r="F241" s="832"/>
      <c r="G241" s="832"/>
      <c r="H241" s="833"/>
      <c r="I241" s="797"/>
      <c r="J241" s="797"/>
      <c r="K241" s="797"/>
      <c r="L241" s="797"/>
      <c r="M241" s="797"/>
      <c r="N241" s="798"/>
      <c r="O241" s="798"/>
      <c r="P241" s="798"/>
      <c r="Q241" s="798"/>
      <c r="R241" s="798"/>
      <c r="S241" s="798"/>
      <c r="T241" s="798"/>
      <c r="U241" s="798"/>
      <c r="V241" s="798"/>
      <c r="W241" s="798"/>
      <c r="X241" s="373"/>
      <c r="Y241" s="267">
        <f>MAX(N240:W241)</f>
        <v>0</v>
      </c>
      <c r="Z241" s="253">
        <v>30</v>
      </c>
      <c r="AE241" s="659"/>
      <c r="AF241" s="659"/>
      <c r="AH241" s="660"/>
    </row>
    <row r="242" spans="1:34" ht="12.75" customHeight="1">
      <c r="A242" s="799" t="s">
        <v>661</v>
      </c>
      <c r="B242" s="817" t="s">
        <v>699</v>
      </c>
      <c r="C242" s="826"/>
      <c r="D242" s="826"/>
      <c r="E242" s="826"/>
      <c r="F242" s="826"/>
      <c r="G242" s="826"/>
      <c r="H242" s="827"/>
      <c r="I242" s="802" t="s">
        <v>701</v>
      </c>
      <c r="J242" s="803"/>
      <c r="K242" s="803"/>
      <c r="L242" s="803"/>
      <c r="M242" s="804"/>
      <c r="N242" s="802" t="s">
        <v>703</v>
      </c>
      <c r="O242" s="803"/>
      <c r="P242" s="803"/>
      <c r="Q242" s="803"/>
      <c r="R242" s="804"/>
      <c r="S242" s="802" t="s">
        <v>702</v>
      </c>
      <c r="T242" s="803"/>
      <c r="U242" s="803"/>
      <c r="V242" s="803"/>
      <c r="W242" s="804"/>
      <c r="X242" s="373"/>
      <c r="AE242" s="659"/>
      <c r="AF242" s="659"/>
      <c r="AH242" s="660"/>
    </row>
    <row r="243" spans="1:34" ht="12.75" customHeight="1">
      <c r="A243" s="800"/>
      <c r="B243" s="828"/>
      <c r="C243" s="829"/>
      <c r="D243" s="829"/>
      <c r="E243" s="829"/>
      <c r="F243" s="829"/>
      <c r="G243" s="829"/>
      <c r="H243" s="830"/>
      <c r="I243" s="805"/>
      <c r="J243" s="806"/>
      <c r="K243" s="806"/>
      <c r="L243" s="806"/>
      <c r="M243" s="807"/>
      <c r="N243" s="805"/>
      <c r="O243" s="806"/>
      <c r="P243" s="806"/>
      <c r="Q243" s="806"/>
      <c r="R243" s="807"/>
      <c r="S243" s="805"/>
      <c r="T243" s="806"/>
      <c r="U243" s="806"/>
      <c r="V243" s="806"/>
      <c r="W243" s="807"/>
      <c r="X243" s="373"/>
      <c r="AE243" s="659"/>
      <c r="AF243" s="659"/>
      <c r="AH243" s="660"/>
    </row>
    <row r="244" spans="1:34" ht="12.75">
      <c r="A244" s="800"/>
      <c r="B244" s="828"/>
      <c r="C244" s="829"/>
      <c r="D244" s="829"/>
      <c r="E244" s="829"/>
      <c r="F244" s="829"/>
      <c r="G244" s="829"/>
      <c r="H244" s="830"/>
      <c r="I244" s="808"/>
      <c r="J244" s="809"/>
      <c r="K244" s="809"/>
      <c r="L244" s="809"/>
      <c r="M244" s="810"/>
      <c r="N244" s="808"/>
      <c r="O244" s="809"/>
      <c r="P244" s="809"/>
      <c r="Q244" s="809"/>
      <c r="R244" s="810"/>
      <c r="S244" s="808"/>
      <c r="T244" s="809"/>
      <c r="U244" s="809"/>
      <c r="V244" s="809"/>
      <c r="W244" s="810"/>
      <c r="X244" s="373"/>
      <c r="Y244" s="12"/>
      <c r="Z244" s="243"/>
      <c r="AB244" s="279"/>
      <c r="AC244" s="12"/>
      <c r="AD244" s="12"/>
      <c r="AE244" s="659"/>
      <c r="AF244" s="659"/>
      <c r="AH244" s="660"/>
    </row>
    <row r="245" spans="1:34" ht="12.75">
      <c r="A245" s="800"/>
      <c r="B245" s="828"/>
      <c r="C245" s="829"/>
      <c r="D245" s="829"/>
      <c r="E245" s="829"/>
      <c r="F245" s="829"/>
      <c r="G245" s="829"/>
      <c r="H245" s="830"/>
      <c r="I245" s="797">
        <f>IF(Y246=0,IF(FIO="","",0),"")</f>
      </c>
      <c r="J245" s="797"/>
      <c r="K245" s="797"/>
      <c r="L245" s="797"/>
      <c r="M245" s="797"/>
      <c r="N245" s="798"/>
      <c r="O245" s="798"/>
      <c r="P245" s="798"/>
      <c r="Q245" s="798"/>
      <c r="R245" s="798"/>
      <c r="S245" s="798"/>
      <c r="T245" s="798"/>
      <c r="U245" s="798"/>
      <c r="V245" s="798"/>
      <c r="W245" s="798"/>
      <c r="X245" s="373"/>
      <c r="Z245" s="251" t="s">
        <v>209</v>
      </c>
      <c r="AE245" s="659"/>
      <c r="AF245" s="659"/>
      <c r="AH245" s="660"/>
    </row>
    <row r="246" spans="1:34" ht="12.75">
      <c r="A246" s="801"/>
      <c r="B246" s="831"/>
      <c r="C246" s="832"/>
      <c r="D246" s="832"/>
      <c r="E246" s="832"/>
      <c r="F246" s="832"/>
      <c r="G246" s="832"/>
      <c r="H246" s="833"/>
      <c r="I246" s="797"/>
      <c r="J246" s="797"/>
      <c r="K246" s="797"/>
      <c r="L246" s="797"/>
      <c r="M246" s="797"/>
      <c r="N246" s="798"/>
      <c r="O246" s="798"/>
      <c r="P246" s="798"/>
      <c r="Q246" s="798"/>
      <c r="R246" s="798"/>
      <c r="S246" s="798"/>
      <c r="T246" s="798"/>
      <c r="U246" s="798"/>
      <c r="V246" s="798"/>
      <c r="W246" s="798"/>
      <c r="X246" s="373"/>
      <c r="Y246" s="267">
        <f>MAX(N245:W246)</f>
        <v>0</v>
      </c>
      <c r="Z246" s="253">
        <v>30</v>
      </c>
      <c r="AE246" s="659"/>
      <c r="AF246" s="659"/>
      <c r="AH246" s="660"/>
    </row>
    <row r="247" spans="1:34" ht="12.75" customHeight="1">
      <c r="A247" s="799" t="s">
        <v>697</v>
      </c>
      <c r="B247" s="817" t="s">
        <v>700</v>
      </c>
      <c r="C247" s="826"/>
      <c r="D247" s="826"/>
      <c r="E247" s="826"/>
      <c r="F247" s="826"/>
      <c r="G247" s="826"/>
      <c r="H247" s="827"/>
      <c r="I247" s="802" t="s">
        <v>656</v>
      </c>
      <c r="J247" s="803"/>
      <c r="K247" s="803"/>
      <c r="L247" s="803"/>
      <c r="M247" s="804"/>
      <c r="N247" s="802" t="s">
        <v>688</v>
      </c>
      <c r="O247" s="803"/>
      <c r="P247" s="803"/>
      <c r="Q247" s="803"/>
      <c r="R247" s="804"/>
      <c r="S247" s="802" t="s">
        <v>657</v>
      </c>
      <c r="T247" s="803"/>
      <c r="U247" s="803"/>
      <c r="V247" s="803"/>
      <c r="W247" s="804"/>
      <c r="X247" s="373"/>
      <c r="AE247" s="659"/>
      <c r="AF247" s="659"/>
      <c r="AH247" s="660"/>
    </row>
    <row r="248" spans="1:34" ht="12.75" customHeight="1">
      <c r="A248" s="800"/>
      <c r="B248" s="828"/>
      <c r="C248" s="829"/>
      <c r="D248" s="829"/>
      <c r="E248" s="829"/>
      <c r="F248" s="829"/>
      <c r="G248" s="829"/>
      <c r="H248" s="830"/>
      <c r="I248" s="805"/>
      <c r="J248" s="806"/>
      <c r="K248" s="806"/>
      <c r="L248" s="806"/>
      <c r="M248" s="807"/>
      <c r="N248" s="805"/>
      <c r="O248" s="806"/>
      <c r="P248" s="806"/>
      <c r="Q248" s="806"/>
      <c r="R248" s="807"/>
      <c r="S248" s="805"/>
      <c r="T248" s="806"/>
      <c r="U248" s="806"/>
      <c r="V248" s="806"/>
      <c r="W248" s="807"/>
      <c r="X248" s="373"/>
      <c r="AE248" s="659"/>
      <c r="AF248" s="659"/>
      <c r="AH248" s="660"/>
    </row>
    <row r="249" spans="1:34" ht="12.75" customHeight="1">
      <c r="A249" s="800"/>
      <c r="B249" s="828"/>
      <c r="C249" s="829"/>
      <c r="D249" s="829"/>
      <c r="E249" s="829"/>
      <c r="F249" s="829"/>
      <c r="G249" s="829"/>
      <c r="H249" s="830"/>
      <c r="I249" s="805"/>
      <c r="J249" s="806"/>
      <c r="K249" s="806"/>
      <c r="L249" s="806"/>
      <c r="M249" s="807"/>
      <c r="N249" s="805"/>
      <c r="O249" s="806"/>
      <c r="P249" s="806"/>
      <c r="Q249" s="806"/>
      <c r="R249" s="807"/>
      <c r="S249" s="805"/>
      <c r="T249" s="806"/>
      <c r="U249" s="806"/>
      <c r="V249" s="806"/>
      <c r="W249" s="807"/>
      <c r="X249" s="373"/>
      <c r="AE249" s="659"/>
      <c r="AF249" s="659"/>
      <c r="AH249" s="660"/>
    </row>
    <row r="250" spans="1:34" ht="1.5" customHeight="1">
      <c r="A250" s="800"/>
      <c r="B250" s="828"/>
      <c r="C250" s="829"/>
      <c r="D250" s="829"/>
      <c r="E250" s="829"/>
      <c r="F250" s="829"/>
      <c r="G250" s="829"/>
      <c r="H250" s="830"/>
      <c r="I250" s="808"/>
      <c r="J250" s="809"/>
      <c r="K250" s="809"/>
      <c r="L250" s="809"/>
      <c r="M250" s="810"/>
      <c r="N250" s="808"/>
      <c r="O250" s="809"/>
      <c r="P250" s="809"/>
      <c r="Q250" s="809"/>
      <c r="R250" s="810"/>
      <c r="S250" s="808"/>
      <c r="T250" s="809"/>
      <c r="U250" s="809"/>
      <c r="V250" s="809"/>
      <c r="W250" s="810"/>
      <c r="X250" s="373"/>
      <c r="Y250" s="12"/>
      <c r="Z250" s="243"/>
      <c r="AB250" s="279"/>
      <c r="AC250" s="12"/>
      <c r="AD250" s="12"/>
      <c r="AE250" s="659"/>
      <c r="AF250" s="659"/>
      <c r="AH250" s="660"/>
    </row>
    <row r="251" spans="1:34" ht="12.75">
      <c r="A251" s="800"/>
      <c r="B251" s="828"/>
      <c r="C251" s="829"/>
      <c r="D251" s="829"/>
      <c r="E251" s="829"/>
      <c r="F251" s="829"/>
      <c r="G251" s="829"/>
      <c r="H251" s="830"/>
      <c r="I251" s="797">
        <f>IF(Y252=0,IF(FIO="","",0),"")</f>
      </c>
      <c r="J251" s="797"/>
      <c r="K251" s="797"/>
      <c r="L251" s="797"/>
      <c r="M251" s="797"/>
      <c r="N251" s="798"/>
      <c r="O251" s="798"/>
      <c r="P251" s="798"/>
      <c r="Q251" s="798"/>
      <c r="R251" s="798"/>
      <c r="S251" s="798"/>
      <c r="T251" s="798"/>
      <c r="U251" s="798"/>
      <c r="V251" s="798"/>
      <c r="W251" s="798"/>
      <c r="X251" s="373"/>
      <c r="Z251" s="251" t="s">
        <v>209</v>
      </c>
      <c r="AE251" s="659"/>
      <c r="AF251" s="659"/>
      <c r="AH251" s="660"/>
    </row>
    <row r="252" spans="1:34" ht="12.75">
      <c r="A252" s="801"/>
      <c r="B252" s="831"/>
      <c r="C252" s="832"/>
      <c r="D252" s="832"/>
      <c r="E252" s="832"/>
      <c r="F252" s="832"/>
      <c r="G252" s="832"/>
      <c r="H252" s="833"/>
      <c r="I252" s="797"/>
      <c r="J252" s="797"/>
      <c r="K252" s="797"/>
      <c r="L252" s="797"/>
      <c r="M252" s="797"/>
      <c r="N252" s="798"/>
      <c r="O252" s="798"/>
      <c r="P252" s="798"/>
      <c r="Q252" s="798"/>
      <c r="R252" s="798"/>
      <c r="S252" s="798"/>
      <c r="T252" s="798"/>
      <c r="U252" s="798"/>
      <c r="V252" s="798"/>
      <c r="W252" s="798"/>
      <c r="X252" s="373"/>
      <c r="Y252" s="267">
        <f>MAX(N251:W252)</f>
        <v>0</v>
      </c>
      <c r="Z252" s="253">
        <v>30</v>
      </c>
      <c r="AE252" s="659"/>
      <c r="AF252" s="659"/>
      <c r="AH252" s="660"/>
    </row>
    <row r="253" spans="1:34" ht="10.5" customHeight="1">
      <c r="A253" s="281"/>
      <c r="B253" s="280"/>
      <c r="C253" s="280"/>
      <c r="D253" s="280"/>
      <c r="E253" s="280"/>
      <c r="F253" s="280"/>
      <c r="G253" s="194"/>
      <c r="H253" s="194"/>
      <c r="I253" s="194"/>
      <c r="J253" s="194"/>
      <c r="K253" s="194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456"/>
      <c r="Y253" s="355"/>
      <c r="AE253" s="286"/>
      <c r="AF253" s="287"/>
      <c r="AH253" s="373"/>
    </row>
    <row r="254" spans="1:45" ht="6" customHeight="1">
      <c r="A254" s="28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456"/>
      <c r="AD254" s="189"/>
      <c r="AG254" s="12"/>
      <c r="AH254" s="373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</row>
    <row r="255" spans="1:34" ht="15" customHeight="1">
      <c r="A255" s="250" t="s">
        <v>191</v>
      </c>
      <c r="B255" s="899" t="s">
        <v>217</v>
      </c>
      <c r="C255" s="899"/>
      <c r="D255" s="899"/>
      <c r="E255" s="899"/>
      <c r="F255" s="899"/>
      <c r="G255" s="899"/>
      <c r="H255" s="899"/>
      <c r="I255" s="899"/>
      <c r="J255" s="899"/>
      <c r="K255" s="899"/>
      <c r="L255" s="899"/>
      <c r="M255" s="899"/>
      <c r="N255" s="899"/>
      <c r="O255" s="899"/>
      <c r="P255" s="899"/>
      <c r="Q255" s="899"/>
      <c r="R255" s="899"/>
      <c r="S255" s="899"/>
      <c r="T255" s="899"/>
      <c r="U255" s="899"/>
      <c r="V255" s="899"/>
      <c r="W255" s="899"/>
      <c r="X255" s="456"/>
      <c r="Y255" s="291" t="str">
        <f>A255</f>
        <v>3.</v>
      </c>
      <c r="Z255" s="290"/>
      <c r="AA255" s="251" t="s">
        <v>278</v>
      </c>
      <c r="AB255" s="251" t="s">
        <v>209</v>
      </c>
      <c r="AC255" s="251" t="s">
        <v>277</v>
      </c>
      <c r="AE255" s="317" t="s">
        <v>279</v>
      </c>
      <c r="AG255" s="289"/>
      <c r="AH255" s="373"/>
    </row>
    <row r="256" spans="2:34" ht="15" customHeight="1">
      <c r="B256" s="899"/>
      <c r="C256" s="899"/>
      <c r="D256" s="899"/>
      <c r="E256" s="899"/>
      <c r="F256" s="899"/>
      <c r="G256" s="899"/>
      <c r="H256" s="899"/>
      <c r="I256" s="899"/>
      <c r="J256" s="899"/>
      <c r="K256" s="899"/>
      <c r="L256" s="899"/>
      <c r="M256" s="899"/>
      <c r="N256" s="899"/>
      <c r="O256" s="899"/>
      <c r="P256" s="899"/>
      <c r="Q256" s="899"/>
      <c r="R256" s="899"/>
      <c r="S256" s="899"/>
      <c r="T256" s="899"/>
      <c r="U256" s="899"/>
      <c r="V256" s="899"/>
      <c r="W256" s="899"/>
      <c r="X256" s="456"/>
      <c r="Z256" s="271" t="s">
        <v>288</v>
      </c>
      <c r="AA256" s="268">
        <f>SUM(Y257:Y444)</f>
        <v>0</v>
      </c>
      <c r="AB256" s="253">
        <f>SUM(Z257:Z443)</f>
        <v>1080</v>
      </c>
      <c r="AC256" s="270">
        <f>SUM(AA257:AA443)</f>
        <v>130</v>
      </c>
      <c r="AD256" s="286"/>
      <c r="AE256" s="317" t="b">
        <f>итого_2&gt;=AC256</f>
        <v>0</v>
      </c>
      <c r="AH256" s="373"/>
    </row>
    <row r="257" spans="1:64" ht="13.5" customHeight="1">
      <c r="A257" s="855" t="s">
        <v>202</v>
      </c>
      <c r="B257" s="855"/>
      <c r="C257" s="855"/>
      <c r="D257" s="855"/>
      <c r="E257" s="855"/>
      <c r="F257" s="855"/>
      <c r="G257" s="855"/>
      <c r="H257" s="855"/>
      <c r="I257" s="855"/>
      <c r="J257" s="855"/>
      <c r="K257" s="855"/>
      <c r="L257" s="855"/>
      <c r="M257" s="855"/>
      <c r="N257" s="855"/>
      <c r="O257" s="855"/>
      <c r="P257" s="855"/>
      <c r="Q257" s="855"/>
      <c r="R257" s="855"/>
      <c r="S257" s="855"/>
      <c r="T257" s="855"/>
      <c r="U257" s="855"/>
      <c r="V257" s="855"/>
      <c r="W257" s="855"/>
      <c r="X257" s="456"/>
      <c r="Y257" s="208"/>
      <c r="AB257" s="208"/>
      <c r="AC257" s="208"/>
      <c r="AD257" s="208"/>
      <c r="AF257" s="208"/>
      <c r="AG257" s="208"/>
      <c r="AH257" s="373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  <c r="BI257" s="208"/>
      <c r="BJ257" s="208"/>
      <c r="BK257" s="208"/>
      <c r="BL257" s="208"/>
    </row>
    <row r="258" spans="1:64" ht="12.75" customHeight="1">
      <c r="A258" s="1064" t="s">
        <v>203</v>
      </c>
      <c r="B258" s="856" t="s">
        <v>218</v>
      </c>
      <c r="C258" s="856"/>
      <c r="D258" s="856"/>
      <c r="E258" s="856"/>
      <c r="F258" s="856"/>
      <c r="G258" s="856"/>
      <c r="H258" s="856"/>
      <c r="I258" s="856"/>
      <c r="J258" s="856"/>
      <c r="K258" s="856"/>
      <c r="L258" s="856"/>
      <c r="M258" s="856"/>
      <c r="N258" s="856"/>
      <c r="O258" s="856"/>
      <c r="P258" s="856"/>
      <c r="Q258" s="856"/>
      <c r="R258" s="856"/>
      <c r="S258" s="856"/>
      <c r="T258" s="856"/>
      <c r="U258" s="856"/>
      <c r="V258" s="856"/>
      <c r="W258" s="856"/>
      <c r="X258" s="456"/>
      <c r="Y258" s="208"/>
      <c r="AB258" s="208"/>
      <c r="AC258" s="208"/>
      <c r="AD258" s="208"/>
      <c r="AE258" s="208"/>
      <c r="AF258" s="208"/>
      <c r="AG258" s="208"/>
      <c r="AH258" s="373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 s="208"/>
      <c r="BK258" s="208"/>
      <c r="BL258" s="208"/>
    </row>
    <row r="259" spans="1:64" ht="12.75" customHeight="1">
      <c r="A259" s="1064"/>
      <c r="B259" s="856"/>
      <c r="C259" s="856"/>
      <c r="D259" s="856"/>
      <c r="E259" s="856"/>
      <c r="F259" s="856"/>
      <c r="G259" s="856"/>
      <c r="H259" s="856"/>
      <c r="I259" s="856"/>
      <c r="J259" s="856"/>
      <c r="K259" s="856"/>
      <c r="L259" s="856"/>
      <c r="M259" s="856"/>
      <c r="N259" s="856"/>
      <c r="O259" s="856"/>
      <c r="P259" s="856"/>
      <c r="Q259" s="856"/>
      <c r="R259" s="856"/>
      <c r="S259" s="856"/>
      <c r="T259" s="856"/>
      <c r="U259" s="856"/>
      <c r="V259" s="856"/>
      <c r="W259" s="856"/>
      <c r="X259" s="456"/>
      <c r="Y259" s="208"/>
      <c r="AB259" s="208"/>
      <c r="AC259" s="208"/>
      <c r="AD259" s="208"/>
      <c r="AE259" s="208"/>
      <c r="AF259" s="208"/>
      <c r="AG259" s="208"/>
      <c r="AH259" s="373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8"/>
      <c r="BD259" s="208"/>
      <c r="BE259" s="208"/>
      <c r="BF259" s="208"/>
      <c r="BG259" s="208"/>
      <c r="BH259" s="208"/>
      <c r="BI259" s="208"/>
      <c r="BJ259" s="208"/>
      <c r="BK259" s="208"/>
      <c r="BL259" s="208"/>
    </row>
    <row r="260" spans="1:64" ht="12.75" customHeight="1">
      <c r="A260" s="1064"/>
      <c r="B260" s="856"/>
      <c r="C260" s="856"/>
      <c r="D260" s="856"/>
      <c r="E260" s="856"/>
      <c r="F260" s="856"/>
      <c r="G260" s="856"/>
      <c r="H260" s="856"/>
      <c r="I260" s="856"/>
      <c r="J260" s="856"/>
      <c r="K260" s="856"/>
      <c r="L260" s="856"/>
      <c r="M260" s="856"/>
      <c r="N260" s="856"/>
      <c r="O260" s="856"/>
      <c r="P260" s="856"/>
      <c r="Q260" s="856"/>
      <c r="R260" s="856"/>
      <c r="S260" s="856"/>
      <c r="T260" s="856"/>
      <c r="U260" s="856"/>
      <c r="V260" s="856"/>
      <c r="W260" s="856"/>
      <c r="X260" s="456"/>
      <c r="Y260" s="208"/>
      <c r="AB260" s="208"/>
      <c r="AC260" s="208"/>
      <c r="AD260" s="208"/>
      <c r="AE260" s="208"/>
      <c r="AF260" s="208"/>
      <c r="AG260" s="208"/>
      <c r="AH260" s="373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/>
      <c r="AS260" s="208"/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  <c r="BI260" s="208"/>
      <c r="BJ260" s="208"/>
      <c r="BK260" s="208"/>
      <c r="BL260" s="208"/>
    </row>
    <row r="261" spans="1:64" ht="11.25" customHeight="1">
      <c r="A261" s="1064"/>
      <c r="B261" s="856"/>
      <c r="C261" s="856"/>
      <c r="D261" s="856"/>
      <c r="E261" s="856"/>
      <c r="F261" s="856"/>
      <c r="G261" s="856"/>
      <c r="H261" s="856"/>
      <c r="I261" s="856"/>
      <c r="J261" s="856"/>
      <c r="K261" s="856"/>
      <c r="L261" s="856"/>
      <c r="M261" s="856"/>
      <c r="N261" s="856"/>
      <c r="O261" s="856"/>
      <c r="P261" s="856"/>
      <c r="Q261" s="856"/>
      <c r="R261" s="856"/>
      <c r="S261" s="856"/>
      <c r="T261" s="856"/>
      <c r="U261" s="856"/>
      <c r="V261" s="856"/>
      <c r="W261" s="856"/>
      <c r="X261" s="456"/>
      <c r="Y261" s="208"/>
      <c r="AB261" s="208"/>
      <c r="AC261" s="208"/>
      <c r="AD261" s="208"/>
      <c r="AE261" s="208"/>
      <c r="AF261" s="208"/>
      <c r="AG261" s="208"/>
      <c r="AH261" s="373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/>
      <c r="AS261" s="208"/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/>
      <c r="BF261" s="208"/>
      <c r="BG261" s="208"/>
      <c r="BH261" s="208"/>
      <c r="BI261" s="208"/>
      <c r="BJ261" s="208"/>
      <c r="BK261" s="208"/>
      <c r="BL261" s="208"/>
    </row>
    <row r="262" spans="1:64" ht="9.75" customHeight="1">
      <c r="A262" s="1064"/>
      <c r="B262" s="856"/>
      <c r="C262" s="856"/>
      <c r="D262" s="856"/>
      <c r="E262" s="856"/>
      <c r="F262" s="856"/>
      <c r="G262" s="856"/>
      <c r="H262" s="856"/>
      <c r="I262" s="856"/>
      <c r="J262" s="856"/>
      <c r="K262" s="856"/>
      <c r="L262" s="856"/>
      <c r="M262" s="856"/>
      <c r="N262" s="856"/>
      <c r="O262" s="856"/>
      <c r="P262" s="856"/>
      <c r="Q262" s="856"/>
      <c r="R262" s="856"/>
      <c r="S262" s="856"/>
      <c r="T262" s="856"/>
      <c r="U262" s="856"/>
      <c r="V262" s="856"/>
      <c r="W262" s="856"/>
      <c r="X262" s="456"/>
      <c r="Y262" s="209"/>
      <c r="AB262" s="209"/>
      <c r="AC262" s="209"/>
      <c r="AD262" s="209"/>
      <c r="AE262" s="209"/>
      <c r="AF262" s="209"/>
      <c r="AG262" s="209"/>
      <c r="AH262" s="373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09"/>
      <c r="BI262" s="209"/>
      <c r="BJ262" s="209"/>
      <c r="BK262" s="209"/>
      <c r="BL262" s="209"/>
    </row>
    <row r="263" spans="1:64" ht="12.75" customHeight="1">
      <c r="A263" s="1064" t="s">
        <v>203</v>
      </c>
      <c r="B263" s="926" t="s">
        <v>219</v>
      </c>
      <c r="C263" s="926"/>
      <c r="D263" s="926"/>
      <c r="E263" s="926"/>
      <c r="F263" s="926"/>
      <c r="G263" s="926"/>
      <c r="H263" s="926"/>
      <c r="I263" s="926"/>
      <c r="J263" s="926"/>
      <c r="K263" s="926"/>
      <c r="L263" s="926"/>
      <c r="M263" s="926"/>
      <c r="N263" s="926"/>
      <c r="O263" s="926"/>
      <c r="P263" s="926"/>
      <c r="Q263" s="926"/>
      <c r="R263" s="926"/>
      <c r="S263" s="926"/>
      <c r="T263" s="926"/>
      <c r="U263" s="926"/>
      <c r="V263" s="926"/>
      <c r="W263" s="926"/>
      <c r="X263" s="456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373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09"/>
      <c r="BK263" s="209"/>
      <c r="BL263" s="209"/>
    </row>
    <row r="264" spans="1:64" ht="12.75" customHeight="1">
      <c r="A264" s="1064"/>
      <c r="B264" s="926"/>
      <c r="C264" s="926"/>
      <c r="D264" s="926"/>
      <c r="E264" s="926"/>
      <c r="F264" s="926"/>
      <c r="G264" s="926"/>
      <c r="H264" s="926"/>
      <c r="I264" s="926"/>
      <c r="J264" s="926"/>
      <c r="K264" s="926"/>
      <c r="L264" s="926"/>
      <c r="M264" s="926"/>
      <c r="N264" s="926"/>
      <c r="O264" s="926"/>
      <c r="P264" s="926"/>
      <c r="Q264" s="926"/>
      <c r="R264" s="926"/>
      <c r="S264" s="926"/>
      <c r="T264" s="926"/>
      <c r="U264" s="926"/>
      <c r="V264" s="926"/>
      <c r="W264" s="926"/>
      <c r="X264" s="456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373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</row>
    <row r="265" spans="1:64" ht="12.75" customHeight="1">
      <c r="A265" s="1064"/>
      <c r="B265" s="926"/>
      <c r="C265" s="926"/>
      <c r="D265" s="926"/>
      <c r="E265" s="926"/>
      <c r="F265" s="926"/>
      <c r="G265" s="926"/>
      <c r="H265" s="926"/>
      <c r="I265" s="926"/>
      <c r="J265" s="926"/>
      <c r="K265" s="926"/>
      <c r="L265" s="926"/>
      <c r="M265" s="926"/>
      <c r="N265" s="926"/>
      <c r="O265" s="926"/>
      <c r="P265" s="926"/>
      <c r="Q265" s="926"/>
      <c r="R265" s="926"/>
      <c r="S265" s="926"/>
      <c r="T265" s="926"/>
      <c r="U265" s="926"/>
      <c r="V265" s="926"/>
      <c r="W265" s="926"/>
      <c r="X265" s="456"/>
      <c r="Y265" s="209"/>
      <c r="Z265" s="209"/>
      <c r="AA265" s="209"/>
      <c r="AB265" s="209"/>
      <c r="AC265" s="209"/>
      <c r="AD265" s="209"/>
      <c r="AE265" s="209"/>
      <c r="AF265" s="209"/>
      <c r="AG265" s="209"/>
      <c r="AH265" s="373"/>
      <c r="AI265" s="209"/>
      <c r="AJ265" s="209"/>
      <c r="AK265" s="209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  <c r="AW265" s="209"/>
      <c r="AX265" s="209"/>
      <c r="AY265" s="209"/>
      <c r="AZ265" s="209"/>
      <c r="BA265" s="209"/>
      <c r="BB265" s="209"/>
      <c r="BC265" s="209"/>
      <c r="BD265" s="209"/>
      <c r="BE265" s="209"/>
      <c r="BF265" s="209"/>
      <c r="BG265" s="209"/>
      <c r="BH265" s="209"/>
      <c r="BI265" s="209"/>
      <c r="BJ265" s="209"/>
      <c r="BK265" s="209"/>
      <c r="BL265" s="209"/>
    </row>
    <row r="266" spans="1:64" ht="12.75" customHeight="1">
      <c r="A266" s="1064"/>
      <c r="B266" s="926"/>
      <c r="C266" s="926"/>
      <c r="D266" s="926"/>
      <c r="E266" s="926"/>
      <c r="F266" s="926"/>
      <c r="G266" s="926"/>
      <c r="H266" s="926"/>
      <c r="I266" s="926"/>
      <c r="J266" s="926"/>
      <c r="K266" s="926"/>
      <c r="L266" s="926"/>
      <c r="M266" s="926"/>
      <c r="N266" s="926"/>
      <c r="O266" s="926"/>
      <c r="P266" s="926"/>
      <c r="Q266" s="926"/>
      <c r="R266" s="926"/>
      <c r="S266" s="926"/>
      <c r="T266" s="926"/>
      <c r="U266" s="926"/>
      <c r="V266" s="926"/>
      <c r="W266" s="926"/>
      <c r="X266" s="456"/>
      <c r="Y266" s="209"/>
      <c r="Z266" s="209"/>
      <c r="AA266" s="209"/>
      <c r="AB266" s="209"/>
      <c r="AC266" s="209"/>
      <c r="AD266" s="209"/>
      <c r="AE266" s="209"/>
      <c r="AF266" s="209"/>
      <c r="AG266" s="209"/>
      <c r="AH266" s="373"/>
      <c r="AI266" s="209"/>
      <c r="AJ266" s="209"/>
      <c r="AK266" s="209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209"/>
      <c r="BD266" s="209"/>
      <c r="BE266" s="209"/>
      <c r="BF266" s="209"/>
      <c r="BG266" s="209"/>
      <c r="BH266" s="209"/>
      <c r="BI266" s="209"/>
      <c r="BJ266" s="209"/>
      <c r="BK266" s="209"/>
      <c r="BL266" s="209"/>
    </row>
    <row r="267" spans="1:64" ht="12.75" customHeight="1">
      <c r="A267" s="1064"/>
      <c r="B267" s="926"/>
      <c r="C267" s="926"/>
      <c r="D267" s="926"/>
      <c r="E267" s="926"/>
      <c r="F267" s="926"/>
      <c r="G267" s="926"/>
      <c r="H267" s="926"/>
      <c r="I267" s="926"/>
      <c r="J267" s="926"/>
      <c r="K267" s="926"/>
      <c r="L267" s="926"/>
      <c r="M267" s="926"/>
      <c r="N267" s="926"/>
      <c r="O267" s="926"/>
      <c r="P267" s="926"/>
      <c r="Q267" s="926"/>
      <c r="R267" s="926"/>
      <c r="S267" s="926"/>
      <c r="T267" s="926"/>
      <c r="U267" s="926"/>
      <c r="V267" s="926"/>
      <c r="W267" s="926"/>
      <c r="X267" s="456"/>
      <c r="Y267" s="209"/>
      <c r="Z267" s="209"/>
      <c r="AA267" s="209"/>
      <c r="AB267" s="209"/>
      <c r="AC267" s="209"/>
      <c r="AD267" s="209"/>
      <c r="AE267" s="209"/>
      <c r="AF267" s="209"/>
      <c r="AG267" s="209"/>
      <c r="AH267" s="373"/>
      <c r="AI267" s="209"/>
      <c r="AJ267" s="209"/>
      <c r="AK267" s="209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09"/>
      <c r="BK267" s="209"/>
      <c r="BL267" s="209"/>
    </row>
    <row r="268" spans="1:34" ht="11.25" customHeight="1">
      <c r="A268" s="1064"/>
      <c r="B268" s="926"/>
      <c r="C268" s="926"/>
      <c r="D268" s="926"/>
      <c r="E268" s="926"/>
      <c r="F268" s="926"/>
      <c r="G268" s="926"/>
      <c r="H268" s="926"/>
      <c r="I268" s="926"/>
      <c r="J268" s="926"/>
      <c r="K268" s="926"/>
      <c r="L268" s="926"/>
      <c r="M268" s="926"/>
      <c r="N268" s="926"/>
      <c r="O268" s="926"/>
      <c r="P268" s="926"/>
      <c r="Q268" s="926"/>
      <c r="R268" s="926"/>
      <c r="S268" s="926"/>
      <c r="T268" s="926"/>
      <c r="U268" s="926"/>
      <c r="V268" s="926"/>
      <c r="W268" s="926"/>
      <c r="X268" s="456"/>
      <c r="AH268" s="373"/>
    </row>
    <row r="269" spans="1:256" ht="12.75">
      <c r="A269" s="1064"/>
      <c r="B269" s="926"/>
      <c r="C269" s="926"/>
      <c r="D269" s="926"/>
      <c r="E269" s="926"/>
      <c r="F269" s="926"/>
      <c r="G269" s="926"/>
      <c r="H269" s="926"/>
      <c r="I269" s="926"/>
      <c r="J269" s="926"/>
      <c r="K269" s="926"/>
      <c r="L269" s="926"/>
      <c r="M269" s="926"/>
      <c r="N269" s="926"/>
      <c r="O269" s="926"/>
      <c r="P269" s="926"/>
      <c r="Q269" s="926"/>
      <c r="R269" s="926"/>
      <c r="S269" s="926"/>
      <c r="T269" s="926"/>
      <c r="U269" s="926"/>
      <c r="V269" s="926"/>
      <c r="W269" s="926"/>
      <c r="X269" s="456"/>
      <c r="Y269" s="191"/>
      <c r="Z269" s="191"/>
      <c r="AA269" s="191"/>
      <c r="AB269" s="191"/>
      <c r="AC269" s="191"/>
      <c r="AD269" s="191"/>
      <c r="AE269" s="191"/>
      <c r="AF269" s="191"/>
      <c r="AG269" s="191"/>
      <c r="AH269" s="373"/>
      <c r="AI269" s="191"/>
      <c r="AJ269" s="191"/>
      <c r="AK269" s="191"/>
      <c r="AL269" s="191"/>
      <c r="AM269" s="191"/>
      <c r="AN269" s="191"/>
      <c r="AO269" s="191"/>
      <c r="AP269" s="191"/>
      <c r="AQ269" s="191"/>
      <c r="AR269" s="191"/>
      <c r="AS269" s="191"/>
      <c r="AT269" s="191"/>
      <c r="AU269" s="191"/>
      <c r="AV269" s="191"/>
      <c r="AW269" s="191"/>
      <c r="AX269" s="191"/>
      <c r="AY269" s="191"/>
      <c r="AZ269" s="191"/>
      <c r="BA269" s="191"/>
      <c r="BB269" s="191"/>
      <c r="BC269" s="191"/>
      <c r="BD269" s="191"/>
      <c r="BE269" s="191"/>
      <c r="BF269" s="191"/>
      <c r="BG269" s="191"/>
      <c r="BH269" s="191"/>
      <c r="BI269" s="191"/>
      <c r="BJ269" s="191"/>
      <c r="BK269" s="191"/>
      <c r="BL269" s="191"/>
      <c r="BM269" s="196"/>
      <c r="BN269" s="142"/>
      <c r="BO269" s="192"/>
      <c r="BP269" s="151"/>
      <c r="BQ269" s="151"/>
      <c r="BR269" s="193"/>
      <c r="BS269" s="151"/>
      <c r="BT269" s="151"/>
      <c r="BU269" s="151"/>
      <c r="BV269" s="151"/>
      <c r="BW269" s="151"/>
      <c r="BX269" s="151"/>
      <c r="BY269" s="191"/>
      <c r="BZ269" s="191"/>
      <c r="CA269" s="191"/>
      <c r="CB269" s="191"/>
      <c r="CC269" s="191"/>
      <c r="CD269" s="191"/>
      <c r="CE269" s="191"/>
      <c r="CF269" s="191"/>
      <c r="CG269" s="191"/>
      <c r="CH269" s="191"/>
      <c r="CI269" s="191"/>
      <c r="CJ269" s="191"/>
      <c r="CK269" s="191"/>
      <c r="CL269" s="191"/>
      <c r="CM269" s="191"/>
      <c r="CN269" s="191"/>
      <c r="CO269" s="191"/>
      <c r="CP269" s="191"/>
      <c r="CQ269" s="191"/>
      <c r="CR269" s="191"/>
      <c r="CS269" s="191"/>
      <c r="CT269" s="191"/>
      <c r="CU269" s="191"/>
      <c r="CV269" s="191"/>
      <c r="CW269" s="191"/>
      <c r="CX269" s="191"/>
      <c r="CY269" s="191"/>
      <c r="CZ269" s="191"/>
      <c r="DA269" s="191"/>
      <c r="DB269" s="191"/>
      <c r="DC269" s="191"/>
      <c r="DD269" s="191"/>
      <c r="DE269" s="191"/>
      <c r="DG269" s="191"/>
      <c r="DH269" s="191"/>
      <c r="DI269" s="191"/>
      <c r="DJ269" s="191"/>
      <c r="DK269" s="191"/>
      <c r="DL269" s="191"/>
      <c r="DM269" s="191"/>
      <c r="DN269" s="191"/>
      <c r="DO269" s="191"/>
      <c r="DP269" s="191"/>
      <c r="DQ269" s="191"/>
      <c r="DR269" s="191"/>
      <c r="DS269" s="191"/>
      <c r="DT269" s="191"/>
      <c r="DU269" s="191"/>
      <c r="DV269" s="191"/>
      <c r="DW269" s="191"/>
      <c r="DX269" s="191"/>
      <c r="DY269" s="191"/>
      <c r="DZ269" s="191"/>
      <c r="EA269" s="191"/>
      <c r="EB269" s="191"/>
      <c r="EC269" s="191"/>
      <c r="ED269" s="191"/>
      <c r="EE269" s="191"/>
      <c r="EF269" s="191"/>
      <c r="EG269" s="191"/>
      <c r="EH269" s="191"/>
      <c r="EI269" s="191"/>
      <c r="EJ269" s="191"/>
      <c r="EK269" s="191"/>
      <c r="EL269" s="191"/>
      <c r="EM269" s="191"/>
      <c r="EN269" s="191"/>
      <c r="EO269" s="191"/>
      <c r="EP269" s="191"/>
      <c r="EQ269" s="191"/>
      <c r="ER269" s="191"/>
      <c r="ES269" s="191"/>
      <c r="ET269" s="191"/>
      <c r="EU269" s="191"/>
      <c r="EV269" s="191"/>
      <c r="EW269" s="191"/>
      <c r="EX269" s="191"/>
      <c r="EY269" s="191"/>
      <c r="EZ269" s="191"/>
      <c r="FA269" s="191"/>
      <c r="FB269" s="191"/>
      <c r="FC269" s="191"/>
      <c r="FD269" s="191"/>
      <c r="FE269" s="191"/>
      <c r="FF269" s="191"/>
      <c r="FG269" s="191"/>
      <c r="FH269" s="191"/>
      <c r="FI269" s="191"/>
      <c r="FJ269" s="191"/>
      <c r="FK269" s="191"/>
      <c r="FL269" s="191"/>
      <c r="FM269" s="191"/>
      <c r="FN269" s="191"/>
      <c r="FO269" s="191"/>
      <c r="FP269" s="191"/>
      <c r="FQ269" s="191"/>
      <c r="FR269" s="191"/>
      <c r="FS269" s="191"/>
      <c r="FT269" s="191"/>
      <c r="FU269" s="191"/>
      <c r="FV269" s="191"/>
      <c r="FW269" s="191"/>
      <c r="FX269" s="191"/>
      <c r="FY269" s="191"/>
      <c r="FZ269" s="191"/>
      <c r="GA269" s="191"/>
      <c r="GB269" s="191"/>
      <c r="GC269" s="191"/>
      <c r="GD269" s="191"/>
      <c r="GE269" s="191"/>
      <c r="GF269" s="191"/>
      <c r="GG269" s="191"/>
      <c r="GH269" s="191"/>
      <c r="GI269" s="191"/>
      <c r="GJ269" s="191"/>
      <c r="GK269" s="191"/>
      <c r="GL269" s="191"/>
      <c r="GM269" s="191"/>
      <c r="GN269" s="191"/>
      <c r="GO269" s="191"/>
      <c r="GP269" s="191"/>
      <c r="GQ269" s="191"/>
      <c r="GR269" s="191"/>
      <c r="GS269" s="191"/>
      <c r="GT269" s="191"/>
      <c r="GU269" s="191"/>
      <c r="GV269" s="191"/>
      <c r="GW269" s="191"/>
      <c r="GX269" s="191"/>
      <c r="GY269" s="191"/>
      <c r="GZ269" s="191"/>
      <c r="HA269" s="191"/>
      <c r="HB269" s="191"/>
      <c r="HC269" s="191"/>
      <c r="HD269" s="191"/>
      <c r="HE269" s="191"/>
      <c r="HF269" s="191"/>
      <c r="HG269" s="191"/>
      <c r="HH269" s="191"/>
      <c r="HI269" s="191"/>
      <c r="HJ269" s="191"/>
      <c r="HK269" s="191"/>
      <c r="HL269" s="191"/>
      <c r="HM269" s="191"/>
      <c r="HN269" s="191"/>
      <c r="HO269" s="191"/>
      <c r="HP269" s="191"/>
      <c r="HQ269" s="191"/>
      <c r="HR269" s="191"/>
      <c r="HS269" s="191"/>
      <c r="HT269" s="191"/>
      <c r="HU269" s="191"/>
      <c r="HV269" s="191"/>
      <c r="HW269" s="191"/>
      <c r="HX269" s="191"/>
      <c r="HY269" s="191"/>
      <c r="HZ269" s="191"/>
      <c r="IA269" s="191"/>
      <c r="IB269" s="191"/>
      <c r="IC269" s="191"/>
      <c r="ID269" s="191"/>
      <c r="IE269" s="191"/>
      <c r="IF269" s="191"/>
      <c r="IG269" s="191"/>
      <c r="IH269" s="191"/>
      <c r="II269" s="191"/>
      <c r="IJ269" s="191"/>
      <c r="IK269" s="191"/>
      <c r="IL269" s="191"/>
      <c r="IM269" s="191"/>
      <c r="IN269" s="191"/>
      <c r="IO269" s="191"/>
      <c r="IP269" s="191"/>
      <c r="IQ269" s="191"/>
      <c r="IR269" s="191"/>
      <c r="IS269" s="191"/>
      <c r="IT269" s="191"/>
      <c r="IU269" s="191"/>
      <c r="IV269" s="191"/>
    </row>
    <row r="270" spans="1:34" ht="3.75" customHeight="1">
      <c r="A270" s="210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191"/>
      <c r="U270" s="191"/>
      <c r="V270" s="191"/>
      <c r="W270" s="191"/>
      <c r="X270" s="456"/>
      <c r="AH270" s="373"/>
    </row>
    <row r="271" spans="1:34" ht="12.75">
      <c r="A271" s="263" t="s">
        <v>265</v>
      </c>
      <c r="B271" s="303" t="s">
        <v>220</v>
      </c>
      <c r="X271" s="456"/>
      <c r="AH271" s="373"/>
    </row>
    <row r="272" spans="24:34" ht="3" customHeight="1">
      <c r="X272" s="456"/>
      <c r="AH272" s="373"/>
    </row>
    <row r="273" spans="1:34" ht="14.25" customHeight="1">
      <c r="A273" s="912" t="s">
        <v>204</v>
      </c>
      <c r="B273" s="890" t="s">
        <v>221</v>
      </c>
      <c r="C273" s="891"/>
      <c r="D273" s="891"/>
      <c r="E273" s="891"/>
      <c r="F273" s="891"/>
      <c r="G273" s="891"/>
      <c r="H273" s="891"/>
      <c r="I273" s="891"/>
      <c r="J273" s="892"/>
      <c r="K273" s="775" t="s">
        <v>206</v>
      </c>
      <c r="L273" s="776"/>
      <c r="M273" s="776"/>
      <c r="N273" s="776"/>
      <c r="O273" s="776"/>
      <c r="P273" s="776"/>
      <c r="Q273" s="776"/>
      <c r="R273" s="776"/>
      <c r="S273" s="776"/>
      <c r="T273" s="776"/>
      <c r="U273" s="776"/>
      <c r="V273" s="776"/>
      <c r="W273" s="777"/>
      <c r="X273" s="456"/>
      <c r="AH273" s="373"/>
    </row>
    <row r="274" spans="1:34" ht="14.25" customHeight="1">
      <c r="A274" s="912"/>
      <c r="B274" s="893"/>
      <c r="C274" s="894"/>
      <c r="D274" s="894"/>
      <c r="E274" s="894"/>
      <c r="F274" s="894"/>
      <c r="G274" s="894"/>
      <c r="H274" s="894"/>
      <c r="I274" s="894"/>
      <c r="J274" s="895"/>
      <c r="K274" s="778" t="s">
        <v>207</v>
      </c>
      <c r="L274" s="779"/>
      <c r="M274" s="779"/>
      <c r="N274" s="779"/>
      <c r="O274" s="779"/>
      <c r="P274" s="779"/>
      <c r="Q274" s="779"/>
      <c r="R274" s="779"/>
      <c r="S274" s="779"/>
      <c r="T274" s="779"/>
      <c r="U274" s="779"/>
      <c r="V274" s="779"/>
      <c r="W274" s="780"/>
      <c r="X274" s="456"/>
      <c r="AH274" s="373"/>
    </row>
    <row r="275" spans="1:34" ht="14.25" customHeight="1">
      <c r="A275" s="912"/>
      <c r="B275" s="893"/>
      <c r="C275" s="894"/>
      <c r="D275" s="894"/>
      <c r="E275" s="894"/>
      <c r="F275" s="894"/>
      <c r="G275" s="894"/>
      <c r="H275" s="894"/>
      <c r="I275" s="894"/>
      <c r="J275" s="895"/>
      <c r="K275" s="980">
        <v>0</v>
      </c>
      <c r="L275" s="980"/>
      <c r="M275" s="980"/>
      <c r="N275" s="980"/>
      <c r="O275" s="980"/>
      <c r="P275" s="916">
        <v>10</v>
      </c>
      <c r="Q275" s="917"/>
      <c r="R275" s="917"/>
      <c r="S275" s="918"/>
      <c r="T275" s="916">
        <v>20</v>
      </c>
      <c r="U275" s="917"/>
      <c r="V275" s="917"/>
      <c r="W275" s="918"/>
      <c r="X275" s="456"/>
      <c r="AH275" s="373"/>
    </row>
    <row r="276" spans="1:34" ht="14.25" customHeight="1">
      <c r="A276" s="912"/>
      <c r="B276" s="893"/>
      <c r="C276" s="894"/>
      <c r="D276" s="894"/>
      <c r="E276" s="894"/>
      <c r="F276" s="894"/>
      <c r="G276" s="894"/>
      <c r="H276" s="894"/>
      <c r="I276" s="894"/>
      <c r="J276" s="895"/>
      <c r="K276" s="981" t="s">
        <v>286</v>
      </c>
      <c r="L276" s="981"/>
      <c r="M276" s="981"/>
      <c r="N276" s="981"/>
      <c r="O276" s="981"/>
      <c r="P276" s="802" t="s">
        <v>287</v>
      </c>
      <c r="Q276" s="803"/>
      <c r="R276" s="803"/>
      <c r="S276" s="804"/>
      <c r="T276" s="802" t="s">
        <v>222</v>
      </c>
      <c r="U276" s="803"/>
      <c r="V276" s="803"/>
      <c r="W276" s="804"/>
      <c r="X276" s="456"/>
      <c r="AH276" s="373"/>
    </row>
    <row r="277" spans="1:34" ht="14.25" customHeight="1">
      <c r="A277" s="912"/>
      <c r="B277" s="893"/>
      <c r="C277" s="894"/>
      <c r="D277" s="894"/>
      <c r="E277" s="894"/>
      <c r="F277" s="894"/>
      <c r="G277" s="894"/>
      <c r="H277" s="894"/>
      <c r="I277" s="894"/>
      <c r="J277" s="895"/>
      <c r="K277" s="981"/>
      <c r="L277" s="981"/>
      <c r="M277" s="981"/>
      <c r="N277" s="981"/>
      <c r="O277" s="981"/>
      <c r="P277" s="805"/>
      <c r="Q277" s="806"/>
      <c r="R277" s="806"/>
      <c r="S277" s="807"/>
      <c r="T277" s="805"/>
      <c r="U277" s="806"/>
      <c r="V277" s="806"/>
      <c r="W277" s="807"/>
      <c r="X277" s="456"/>
      <c r="AH277" s="373"/>
    </row>
    <row r="278" spans="1:34" ht="14.25" customHeight="1">
      <c r="A278" s="912"/>
      <c r="B278" s="893"/>
      <c r="C278" s="894"/>
      <c r="D278" s="894"/>
      <c r="E278" s="894"/>
      <c r="F278" s="894"/>
      <c r="G278" s="894"/>
      <c r="H278" s="894"/>
      <c r="I278" s="894"/>
      <c r="J278" s="895"/>
      <c r="K278" s="981"/>
      <c r="L278" s="981"/>
      <c r="M278" s="981"/>
      <c r="N278" s="981"/>
      <c r="O278" s="981"/>
      <c r="P278" s="805"/>
      <c r="Q278" s="806"/>
      <c r="R278" s="806"/>
      <c r="S278" s="807"/>
      <c r="T278" s="805"/>
      <c r="U278" s="806"/>
      <c r="V278" s="806"/>
      <c r="W278" s="807"/>
      <c r="X278" s="456"/>
      <c r="AE278" s="5" t="s">
        <v>403</v>
      </c>
      <c r="AH278" s="373"/>
    </row>
    <row r="279" spans="1:34" ht="10.5" customHeight="1">
      <c r="A279" s="912"/>
      <c r="B279" s="896"/>
      <c r="C279" s="897"/>
      <c r="D279" s="897"/>
      <c r="E279" s="897"/>
      <c r="F279" s="897"/>
      <c r="G279" s="897"/>
      <c r="H279" s="897"/>
      <c r="I279" s="897"/>
      <c r="J279" s="898"/>
      <c r="K279" s="981"/>
      <c r="L279" s="981"/>
      <c r="M279" s="981"/>
      <c r="N279" s="981"/>
      <c r="O279" s="981"/>
      <c r="P279" s="808"/>
      <c r="Q279" s="809"/>
      <c r="R279" s="809"/>
      <c r="S279" s="810"/>
      <c r="T279" s="805"/>
      <c r="U279" s="806"/>
      <c r="V279" s="806"/>
      <c r="W279" s="807"/>
      <c r="X279" s="456"/>
      <c r="Z279" s="251" t="s">
        <v>209</v>
      </c>
      <c r="AA279" s="252" t="s">
        <v>277</v>
      </c>
      <c r="AE279" s="288" t="s">
        <v>3</v>
      </c>
      <c r="AF279" s="289" t="s">
        <v>2</v>
      </c>
      <c r="AH279" s="373"/>
    </row>
    <row r="280" spans="1:34" ht="12.75">
      <c r="A280" s="849" t="s">
        <v>188</v>
      </c>
      <c r="B280" s="817" t="s">
        <v>704</v>
      </c>
      <c r="C280" s="826"/>
      <c r="D280" s="826"/>
      <c r="E280" s="826"/>
      <c r="F280" s="826"/>
      <c r="G280" s="826"/>
      <c r="H280" s="826"/>
      <c r="I280" s="826"/>
      <c r="J280" s="827"/>
      <c r="K280" s="869">
        <f>IF(Y280=0,IF(FIO="","",0),"")</f>
      </c>
      <c r="L280" s="870"/>
      <c r="M280" s="870"/>
      <c r="N280" s="870"/>
      <c r="O280" s="871"/>
      <c r="P280" s="878"/>
      <c r="Q280" s="879"/>
      <c r="R280" s="879"/>
      <c r="S280" s="880"/>
      <c r="T280" s="878"/>
      <c r="U280" s="879"/>
      <c r="V280" s="879"/>
      <c r="W280" s="880"/>
      <c r="X280" s="456"/>
      <c r="Y280" s="984">
        <f>MAX(P280:W283)</f>
        <v>0</v>
      </c>
      <c r="Z280" s="253">
        <v>80</v>
      </c>
      <c r="AA280" s="270">
        <f>IF(z_kateg="высшая",AE280,AF280)</f>
        <v>50</v>
      </c>
      <c r="AE280" s="286">
        <v>60</v>
      </c>
      <c r="AF280" s="287">
        <v>50</v>
      </c>
      <c r="AH280" s="373"/>
    </row>
    <row r="281" spans="1:34" ht="12.75">
      <c r="A281" s="850"/>
      <c r="B281" s="828"/>
      <c r="C281" s="829"/>
      <c r="D281" s="829"/>
      <c r="E281" s="829"/>
      <c r="F281" s="829"/>
      <c r="G281" s="829"/>
      <c r="H281" s="829"/>
      <c r="I281" s="829"/>
      <c r="J281" s="830"/>
      <c r="K281" s="872"/>
      <c r="L281" s="873"/>
      <c r="M281" s="873"/>
      <c r="N281" s="873"/>
      <c r="O281" s="874"/>
      <c r="P281" s="881"/>
      <c r="Q281" s="882"/>
      <c r="R281" s="882"/>
      <c r="S281" s="883"/>
      <c r="T281" s="881"/>
      <c r="U281" s="882"/>
      <c r="V281" s="882"/>
      <c r="W281" s="883"/>
      <c r="X281" s="456"/>
      <c r="Y281" s="984"/>
      <c r="AH281" s="373"/>
    </row>
    <row r="282" spans="1:34" ht="6.75" customHeight="1" hidden="1">
      <c r="A282" s="850"/>
      <c r="B282" s="828"/>
      <c r="C282" s="829"/>
      <c r="D282" s="829"/>
      <c r="E282" s="829"/>
      <c r="F282" s="829"/>
      <c r="G282" s="829"/>
      <c r="H282" s="829"/>
      <c r="I282" s="829"/>
      <c r="J282" s="830"/>
      <c r="K282" s="872"/>
      <c r="L282" s="873"/>
      <c r="M282" s="873"/>
      <c r="N282" s="873"/>
      <c r="O282" s="874"/>
      <c r="P282" s="881"/>
      <c r="Q282" s="882"/>
      <c r="R282" s="882"/>
      <c r="S282" s="883"/>
      <c r="T282" s="881"/>
      <c r="U282" s="882"/>
      <c r="V282" s="882"/>
      <c r="W282" s="883"/>
      <c r="X282" s="456"/>
      <c r="Y282" s="984"/>
      <c r="AH282" s="373"/>
    </row>
    <row r="283" spans="1:34" ht="7.5" customHeight="1">
      <c r="A283" s="851"/>
      <c r="B283" s="831"/>
      <c r="C283" s="832"/>
      <c r="D283" s="832"/>
      <c r="E283" s="832"/>
      <c r="F283" s="832"/>
      <c r="G283" s="832"/>
      <c r="H283" s="832"/>
      <c r="I283" s="832"/>
      <c r="J283" s="833"/>
      <c r="K283" s="875"/>
      <c r="L283" s="876"/>
      <c r="M283" s="876"/>
      <c r="N283" s="876"/>
      <c r="O283" s="877"/>
      <c r="P283" s="884"/>
      <c r="Q283" s="885"/>
      <c r="R283" s="885"/>
      <c r="S283" s="886"/>
      <c r="T283" s="884"/>
      <c r="U283" s="885"/>
      <c r="V283" s="885"/>
      <c r="W283" s="886"/>
      <c r="X283" s="456"/>
      <c r="Y283" s="984"/>
      <c r="AH283" s="373"/>
    </row>
    <row r="284" spans="1:34" ht="12.75">
      <c r="A284" s="849" t="s">
        <v>190</v>
      </c>
      <c r="B284" s="817" t="s">
        <v>705</v>
      </c>
      <c r="C284" s="826"/>
      <c r="D284" s="826"/>
      <c r="E284" s="826"/>
      <c r="F284" s="826"/>
      <c r="G284" s="826"/>
      <c r="H284" s="826"/>
      <c r="I284" s="826"/>
      <c r="J284" s="827"/>
      <c r="K284" s="869">
        <f>IF(Y284=0,IF(FIO="","",0),"")</f>
      </c>
      <c r="L284" s="870"/>
      <c r="M284" s="870"/>
      <c r="N284" s="870"/>
      <c r="O284" s="871"/>
      <c r="P284" s="878"/>
      <c r="Q284" s="879"/>
      <c r="R284" s="879"/>
      <c r="S284" s="880"/>
      <c r="T284" s="878"/>
      <c r="U284" s="879"/>
      <c r="V284" s="879"/>
      <c r="W284" s="880"/>
      <c r="X284" s="456"/>
      <c r="Y284" s="984">
        <f>MAX(P284:W288)</f>
        <v>0</v>
      </c>
      <c r="AB284" s="5" t="s">
        <v>285</v>
      </c>
      <c r="AH284" s="373"/>
    </row>
    <row r="285" spans="1:34" ht="12.75">
      <c r="A285" s="850"/>
      <c r="B285" s="828"/>
      <c r="C285" s="829"/>
      <c r="D285" s="829"/>
      <c r="E285" s="829"/>
      <c r="F285" s="829"/>
      <c r="G285" s="829"/>
      <c r="H285" s="829"/>
      <c r="I285" s="829"/>
      <c r="J285" s="830"/>
      <c r="K285" s="872"/>
      <c r="L285" s="873"/>
      <c r="M285" s="873"/>
      <c r="N285" s="873"/>
      <c r="O285" s="874"/>
      <c r="P285" s="881"/>
      <c r="Q285" s="882"/>
      <c r="R285" s="882"/>
      <c r="S285" s="883"/>
      <c r="T285" s="881"/>
      <c r="U285" s="882"/>
      <c r="V285" s="882"/>
      <c r="W285" s="883"/>
      <c r="X285" s="456"/>
      <c r="Y285" s="984"/>
      <c r="AH285" s="373"/>
    </row>
    <row r="286" spans="1:34" ht="12.75">
      <c r="A286" s="850"/>
      <c r="B286" s="828"/>
      <c r="C286" s="829"/>
      <c r="D286" s="829"/>
      <c r="E286" s="829"/>
      <c r="F286" s="829"/>
      <c r="G286" s="829"/>
      <c r="H286" s="829"/>
      <c r="I286" s="829"/>
      <c r="J286" s="830"/>
      <c r="K286" s="872"/>
      <c r="L286" s="873"/>
      <c r="M286" s="873"/>
      <c r="N286" s="873"/>
      <c r="O286" s="874"/>
      <c r="P286" s="881"/>
      <c r="Q286" s="882"/>
      <c r="R286" s="882"/>
      <c r="S286" s="883"/>
      <c r="T286" s="881"/>
      <c r="U286" s="882"/>
      <c r="V286" s="882"/>
      <c r="W286" s="883"/>
      <c r="X286" s="456"/>
      <c r="Y286" s="984"/>
      <c r="AH286" s="373"/>
    </row>
    <row r="287" spans="1:34" ht="12.75">
      <c r="A287" s="850"/>
      <c r="B287" s="828"/>
      <c r="C287" s="829"/>
      <c r="D287" s="829"/>
      <c r="E287" s="829"/>
      <c r="F287" s="829"/>
      <c r="G287" s="829"/>
      <c r="H287" s="829"/>
      <c r="I287" s="829"/>
      <c r="J287" s="830"/>
      <c r="K287" s="872"/>
      <c r="L287" s="873"/>
      <c r="M287" s="873"/>
      <c r="N287" s="873"/>
      <c r="O287" s="874"/>
      <c r="P287" s="881"/>
      <c r="Q287" s="882"/>
      <c r="R287" s="882"/>
      <c r="S287" s="883"/>
      <c r="T287" s="881"/>
      <c r="U287" s="882"/>
      <c r="V287" s="882"/>
      <c r="W287" s="883"/>
      <c r="X287" s="456"/>
      <c r="Y287" s="984"/>
      <c r="AH287" s="373"/>
    </row>
    <row r="288" spans="1:34" ht="12.75">
      <c r="A288" s="851"/>
      <c r="B288" s="831"/>
      <c r="C288" s="832"/>
      <c r="D288" s="832"/>
      <c r="E288" s="832"/>
      <c r="F288" s="832"/>
      <c r="G288" s="832"/>
      <c r="H288" s="832"/>
      <c r="I288" s="832"/>
      <c r="J288" s="833"/>
      <c r="K288" s="875"/>
      <c r="L288" s="876"/>
      <c r="M288" s="876"/>
      <c r="N288" s="876"/>
      <c r="O288" s="877"/>
      <c r="P288" s="884"/>
      <c r="Q288" s="885"/>
      <c r="R288" s="885"/>
      <c r="S288" s="886"/>
      <c r="T288" s="884"/>
      <c r="U288" s="885"/>
      <c r="V288" s="885"/>
      <c r="W288" s="886"/>
      <c r="X288" s="456"/>
      <c r="Y288" s="984"/>
      <c r="AH288" s="373"/>
    </row>
    <row r="289" spans="1:34" ht="12.75">
      <c r="A289" s="849" t="s">
        <v>191</v>
      </c>
      <c r="B289" s="817" t="s">
        <v>223</v>
      </c>
      <c r="C289" s="826"/>
      <c r="D289" s="826"/>
      <c r="E289" s="826"/>
      <c r="F289" s="826"/>
      <c r="G289" s="826"/>
      <c r="H289" s="826"/>
      <c r="I289" s="826"/>
      <c r="J289" s="827"/>
      <c r="K289" s="869">
        <f>IF(Y289=0,IF(FIO="","",0),"")</f>
      </c>
      <c r="L289" s="870"/>
      <c r="M289" s="870"/>
      <c r="N289" s="870"/>
      <c r="O289" s="871"/>
      <c r="P289" s="878"/>
      <c r="Q289" s="879"/>
      <c r="R289" s="879"/>
      <c r="S289" s="880"/>
      <c r="T289" s="878"/>
      <c r="U289" s="879"/>
      <c r="V289" s="879"/>
      <c r="W289" s="880"/>
      <c r="X289" s="456"/>
      <c r="Y289" s="984">
        <f>MAX(P289:W292)</f>
        <v>0</v>
      </c>
      <c r="AH289" s="373"/>
    </row>
    <row r="290" spans="1:34" ht="3" customHeight="1" hidden="1">
      <c r="A290" s="850"/>
      <c r="B290" s="828"/>
      <c r="C290" s="829"/>
      <c r="D290" s="829"/>
      <c r="E290" s="829"/>
      <c r="F290" s="829"/>
      <c r="G290" s="829"/>
      <c r="H290" s="829"/>
      <c r="I290" s="829"/>
      <c r="J290" s="830"/>
      <c r="K290" s="872"/>
      <c r="L290" s="873"/>
      <c r="M290" s="873"/>
      <c r="N290" s="873"/>
      <c r="O290" s="874"/>
      <c r="P290" s="881"/>
      <c r="Q290" s="882"/>
      <c r="R290" s="882"/>
      <c r="S290" s="883"/>
      <c r="T290" s="881"/>
      <c r="U290" s="882"/>
      <c r="V290" s="882"/>
      <c r="W290" s="883"/>
      <c r="X290" s="456"/>
      <c r="Y290" s="984"/>
      <c r="AH290" s="373"/>
    </row>
    <row r="291" spans="1:34" ht="3.75" customHeight="1">
      <c r="A291" s="850"/>
      <c r="B291" s="828"/>
      <c r="C291" s="829"/>
      <c r="D291" s="829"/>
      <c r="E291" s="829"/>
      <c r="F291" s="829"/>
      <c r="G291" s="829"/>
      <c r="H291" s="829"/>
      <c r="I291" s="829"/>
      <c r="J291" s="830"/>
      <c r="K291" s="872"/>
      <c r="L291" s="873"/>
      <c r="M291" s="873"/>
      <c r="N291" s="873"/>
      <c r="O291" s="874"/>
      <c r="P291" s="881"/>
      <c r="Q291" s="882"/>
      <c r="R291" s="882"/>
      <c r="S291" s="883"/>
      <c r="T291" s="881"/>
      <c r="U291" s="882"/>
      <c r="V291" s="882"/>
      <c r="W291" s="883"/>
      <c r="X291" s="456"/>
      <c r="Y291" s="984"/>
      <c r="AH291" s="373"/>
    </row>
    <row r="292" spans="1:34" ht="12.75">
      <c r="A292" s="851"/>
      <c r="B292" s="831"/>
      <c r="C292" s="832"/>
      <c r="D292" s="832"/>
      <c r="E292" s="832"/>
      <c r="F292" s="832"/>
      <c r="G292" s="832"/>
      <c r="H292" s="832"/>
      <c r="I292" s="832"/>
      <c r="J292" s="833"/>
      <c r="K292" s="875"/>
      <c r="L292" s="876"/>
      <c r="M292" s="876"/>
      <c r="N292" s="876"/>
      <c r="O292" s="877"/>
      <c r="P292" s="884"/>
      <c r="Q292" s="885"/>
      <c r="R292" s="885"/>
      <c r="S292" s="886"/>
      <c r="T292" s="884"/>
      <c r="U292" s="885"/>
      <c r="V292" s="885"/>
      <c r="W292" s="886"/>
      <c r="X292" s="456"/>
      <c r="Y292" s="984"/>
      <c r="AH292" s="373"/>
    </row>
    <row r="293" spans="1:34" ht="12.75" customHeight="1">
      <c r="A293" s="849" t="s">
        <v>192</v>
      </c>
      <c r="B293" s="817" t="s">
        <v>672</v>
      </c>
      <c r="C293" s="826"/>
      <c r="D293" s="826"/>
      <c r="E293" s="826"/>
      <c r="F293" s="826"/>
      <c r="G293" s="826"/>
      <c r="H293" s="826"/>
      <c r="I293" s="826"/>
      <c r="J293" s="827"/>
      <c r="K293" s="869">
        <f>IF(Y293=0,IF(FIO="","",0),"")</f>
      </c>
      <c r="L293" s="870"/>
      <c r="M293" s="870"/>
      <c r="N293" s="870"/>
      <c r="O293" s="871"/>
      <c r="P293" s="878"/>
      <c r="Q293" s="879"/>
      <c r="R293" s="879"/>
      <c r="S293" s="880"/>
      <c r="T293" s="878"/>
      <c r="U293" s="879"/>
      <c r="V293" s="879"/>
      <c r="W293" s="880"/>
      <c r="X293" s="456"/>
      <c r="Y293" s="984">
        <f>MAX(P293:W296)</f>
        <v>0</v>
      </c>
      <c r="AH293" s="373"/>
    </row>
    <row r="294" spans="1:34" ht="3" customHeight="1">
      <c r="A294" s="850"/>
      <c r="B294" s="828"/>
      <c r="C294" s="829"/>
      <c r="D294" s="829"/>
      <c r="E294" s="829"/>
      <c r="F294" s="829"/>
      <c r="G294" s="829"/>
      <c r="H294" s="829"/>
      <c r="I294" s="829"/>
      <c r="J294" s="830"/>
      <c r="K294" s="872"/>
      <c r="L294" s="873"/>
      <c r="M294" s="873"/>
      <c r="N294" s="873"/>
      <c r="O294" s="874"/>
      <c r="P294" s="881"/>
      <c r="Q294" s="882"/>
      <c r="R294" s="882"/>
      <c r="S294" s="883"/>
      <c r="T294" s="881"/>
      <c r="U294" s="882"/>
      <c r="V294" s="882"/>
      <c r="W294" s="883"/>
      <c r="X294" s="456"/>
      <c r="Y294" s="984"/>
      <c r="AH294" s="373"/>
    </row>
    <row r="295" spans="1:34" ht="3.75" customHeight="1">
      <c r="A295" s="850"/>
      <c r="B295" s="828"/>
      <c r="C295" s="829"/>
      <c r="D295" s="829"/>
      <c r="E295" s="829"/>
      <c r="F295" s="829"/>
      <c r="G295" s="829"/>
      <c r="H295" s="829"/>
      <c r="I295" s="829"/>
      <c r="J295" s="830"/>
      <c r="K295" s="872"/>
      <c r="L295" s="873"/>
      <c r="M295" s="873"/>
      <c r="N295" s="873"/>
      <c r="O295" s="874"/>
      <c r="P295" s="881"/>
      <c r="Q295" s="882"/>
      <c r="R295" s="882"/>
      <c r="S295" s="883"/>
      <c r="T295" s="881"/>
      <c r="U295" s="882"/>
      <c r="V295" s="882"/>
      <c r="W295" s="883"/>
      <c r="X295" s="456"/>
      <c r="Y295" s="984"/>
      <c r="AH295" s="373"/>
    </row>
    <row r="296" spans="1:34" ht="12.75">
      <c r="A296" s="851"/>
      <c r="B296" s="831"/>
      <c r="C296" s="832"/>
      <c r="D296" s="832"/>
      <c r="E296" s="832"/>
      <c r="F296" s="832"/>
      <c r="G296" s="832"/>
      <c r="H296" s="832"/>
      <c r="I296" s="832"/>
      <c r="J296" s="833"/>
      <c r="K296" s="875"/>
      <c r="L296" s="876"/>
      <c r="M296" s="876"/>
      <c r="N296" s="876"/>
      <c r="O296" s="877"/>
      <c r="P296" s="884"/>
      <c r="Q296" s="885"/>
      <c r="R296" s="885"/>
      <c r="S296" s="886"/>
      <c r="T296" s="884"/>
      <c r="U296" s="885"/>
      <c r="V296" s="885"/>
      <c r="W296" s="886"/>
      <c r="X296" s="456"/>
      <c r="Y296" s="984"/>
      <c r="AH296" s="373"/>
    </row>
    <row r="297" spans="1:34" ht="6.75" customHeight="1">
      <c r="A297" s="276"/>
      <c r="B297" s="226"/>
      <c r="C297" s="226"/>
      <c r="D297" s="226"/>
      <c r="E297" s="226"/>
      <c r="F297" s="12"/>
      <c r="G297" s="12"/>
      <c r="H297" s="12"/>
      <c r="I297" s="12"/>
      <c r="J297" s="12"/>
      <c r="K297" s="12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456"/>
      <c r="AH297" s="373"/>
    </row>
    <row r="298" spans="1:34" ht="12.75">
      <c r="A298" s="263" t="s">
        <v>224</v>
      </c>
      <c r="B298" s="303" t="s">
        <v>225</v>
      </c>
      <c r="X298" s="456"/>
      <c r="AH298" s="373"/>
    </row>
    <row r="299" spans="1:34" ht="12.75">
      <c r="A299" s="293" t="s">
        <v>226</v>
      </c>
      <c r="X299" s="456"/>
      <c r="AH299" s="373"/>
    </row>
    <row r="300" spans="1:34" ht="14.25">
      <c r="A300" s="912" t="s">
        <v>204</v>
      </c>
      <c r="B300" s="1112" t="s">
        <v>462</v>
      </c>
      <c r="C300" s="1113"/>
      <c r="D300" s="1113"/>
      <c r="E300" s="1113"/>
      <c r="F300" s="1113"/>
      <c r="G300" s="1113"/>
      <c r="H300" s="1113"/>
      <c r="I300" s="1113"/>
      <c r="J300" s="1114"/>
      <c r="K300" s="775" t="s">
        <v>216</v>
      </c>
      <c r="L300" s="776"/>
      <c r="M300" s="776"/>
      <c r="N300" s="776"/>
      <c r="O300" s="776"/>
      <c r="P300" s="776"/>
      <c r="Q300" s="776"/>
      <c r="R300" s="776"/>
      <c r="S300" s="776"/>
      <c r="T300" s="776"/>
      <c r="U300" s="776"/>
      <c r="V300" s="776"/>
      <c r="W300" s="777"/>
      <c r="X300" s="456"/>
      <c r="AH300" s="373"/>
    </row>
    <row r="301" spans="1:34" ht="12.75">
      <c r="A301" s="912"/>
      <c r="B301" s="1115"/>
      <c r="C301" s="1116"/>
      <c r="D301" s="1116"/>
      <c r="E301" s="1116"/>
      <c r="F301" s="1116"/>
      <c r="G301" s="1116"/>
      <c r="H301" s="1116"/>
      <c r="I301" s="1116"/>
      <c r="J301" s="1117"/>
      <c r="K301" s="778" t="s">
        <v>207</v>
      </c>
      <c r="L301" s="779"/>
      <c r="M301" s="779"/>
      <c r="N301" s="779"/>
      <c r="O301" s="779"/>
      <c r="P301" s="779"/>
      <c r="Q301" s="779"/>
      <c r="R301" s="779"/>
      <c r="S301" s="779"/>
      <c r="T301" s="779"/>
      <c r="U301" s="779"/>
      <c r="V301" s="779"/>
      <c r="W301" s="780"/>
      <c r="X301" s="456"/>
      <c r="AH301" s="373"/>
    </row>
    <row r="302" spans="1:34" ht="12.75">
      <c r="A302" s="912"/>
      <c r="B302" s="1115"/>
      <c r="C302" s="1116"/>
      <c r="D302" s="1116"/>
      <c r="E302" s="1116"/>
      <c r="F302" s="1116"/>
      <c r="G302" s="1116"/>
      <c r="H302" s="1116"/>
      <c r="I302" s="1116"/>
      <c r="J302" s="1117"/>
      <c r="K302" s="781">
        <v>0</v>
      </c>
      <c r="L302" s="781"/>
      <c r="M302" s="781"/>
      <c r="N302" s="781"/>
      <c r="O302" s="781"/>
      <c r="P302" s="916">
        <v>10</v>
      </c>
      <c r="Q302" s="917"/>
      <c r="R302" s="917"/>
      <c r="S302" s="918"/>
      <c r="T302" s="916">
        <v>20</v>
      </c>
      <c r="U302" s="917"/>
      <c r="V302" s="917"/>
      <c r="W302" s="918"/>
      <c r="X302" s="456"/>
      <c r="AH302" s="373"/>
    </row>
    <row r="303" spans="1:34" ht="12.75">
      <c r="A303" s="912"/>
      <c r="B303" s="1115"/>
      <c r="C303" s="1116"/>
      <c r="D303" s="1116"/>
      <c r="E303" s="1116"/>
      <c r="F303" s="1116"/>
      <c r="G303" s="1116"/>
      <c r="H303" s="1116"/>
      <c r="I303" s="1116"/>
      <c r="J303" s="1117"/>
      <c r="K303" s="981" t="s">
        <v>461</v>
      </c>
      <c r="L303" s="981"/>
      <c r="M303" s="981"/>
      <c r="N303" s="981"/>
      <c r="O303" s="981"/>
      <c r="P303" s="802" t="s">
        <v>287</v>
      </c>
      <c r="Q303" s="803"/>
      <c r="R303" s="803"/>
      <c r="S303" s="804"/>
      <c r="T303" s="802" t="s">
        <v>222</v>
      </c>
      <c r="U303" s="803"/>
      <c r="V303" s="803"/>
      <c r="W303" s="804"/>
      <c r="X303" s="456"/>
      <c r="AH303" s="373"/>
    </row>
    <row r="304" spans="1:34" ht="14.25" customHeight="1">
      <c r="A304" s="912"/>
      <c r="B304" s="1080" t="s">
        <v>463</v>
      </c>
      <c r="C304" s="1081"/>
      <c r="D304" s="1081"/>
      <c r="E304" s="1081"/>
      <c r="F304" s="1081"/>
      <c r="G304" s="1081"/>
      <c r="H304" s="1081"/>
      <c r="I304" s="1081"/>
      <c r="J304" s="1082"/>
      <c r="K304" s="981"/>
      <c r="L304" s="981"/>
      <c r="M304" s="981"/>
      <c r="N304" s="981"/>
      <c r="O304" s="981"/>
      <c r="P304" s="805"/>
      <c r="Q304" s="806"/>
      <c r="R304" s="806"/>
      <c r="S304" s="807"/>
      <c r="T304" s="805"/>
      <c r="U304" s="806"/>
      <c r="V304" s="806"/>
      <c r="W304" s="807"/>
      <c r="X304" s="456"/>
      <c r="AH304" s="373"/>
    </row>
    <row r="305" spans="1:34" ht="12.75">
      <c r="A305" s="912"/>
      <c r="B305" s="1080"/>
      <c r="C305" s="1081"/>
      <c r="D305" s="1081"/>
      <c r="E305" s="1081"/>
      <c r="F305" s="1081"/>
      <c r="G305" s="1081"/>
      <c r="H305" s="1081"/>
      <c r="I305" s="1081"/>
      <c r="J305" s="1082"/>
      <c r="K305" s="981"/>
      <c r="L305" s="981"/>
      <c r="M305" s="981"/>
      <c r="N305" s="981"/>
      <c r="O305" s="981"/>
      <c r="P305" s="805"/>
      <c r="Q305" s="806"/>
      <c r="R305" s="806"/>
      <c r="S305" s="807"/>
      <c r="T305" s="805"/>
      <c r="U305" s="806"/>
      <c r="V305" s="806"/>
      <c r="W305" s="807"/>
      <c r="X305" s="456"/>
      <c r="AH305" s="373"/>
    </row>
    <row r="306" spans="1:34" ht="3" customHeight="1">
      <c r="A306" s="912"/>
      <c r="B306" s="1083"/>
      <c r="C306" s="1084"/>
      <c r="D306" s="1084"/>
      <c r="E306" s="1084"/>
      <c r="F306" s="1084"/>
      <c r="G306" s="1084"/>
      <c r="H306" s="1084"/>
      <c r="I306" s="1084"/>
      <c r="J306" s="1085"/>
      <c r="K306" s="988"/>
      <c r="L306" s="988"/>
      <c r="M306" s="988"/>
      <c r="N306" s="988"/>
      <c r="O306" s="988"/>
      <c r="P306" s="808"/>
      <c r="Q306" s="809"/>
      <c r="R306" s="809"/>
      <c r="S306" s="810"/>
      <c r="T306" s="805"/>
      <c r="U306" s="806"/>
      <c r="V306" s="806"/>
      <c r="W306" s="807"/>
      <c r="X306" s="456"/>
      <c r="AH306" s="373"/>
    </row>
    <row r="307" spans="1:34" ht="14.25" customHeight="1">
      <c r="A307" s="913" t="s">
        <v>188</v>
      </c>
      <c r="B307" s="860"/>
      <c r="C307" s="861"/>
      <c r="D307" s="861"/>
      <c r="E307" s="861"/>
      <c r="F307" s="861"/>
      <c r="G307" s="861"/>
      <c r="H307" s="861"/>
      <c r="I307" s="861"/>
      <c r="J307" s="862"/>
      <c r="K307" s="870">
        <f>IF(AND(FIO&lt;&gt;"",P307="",T307=""),0,IF(z_kateg="первая","Не заполнять  на первую кв.кат.!",""))</f>
      </c>
      <c r="L307" s="870"/>
      <c r="M307" s="870"/>
      <c r="N307" s="870"/>
      <c r="O307" s="871"/>
      <c r="P307" s="798"/>
      <c r="Q307" s="798"/>
      <c r="R307" s="798"/>
      <c r="S307" s="798"/>
      <c r="T307" s="878"/>
      <c r="U307" s="879"/>
      <c r="V307" s="879"/>
      <c r="W307" s="880"/>
      <c r="X307" s="456"/>
      <c r="Y307" s="984">
        <f>IF(z_kateg="первая",0,MAX(K307:W310))</f>
        <v>0</v>
      </c>
      <c r="Z307" s="251" t="s">
        <v>209</v>
      </c>
      <c r="AA307" s="252" t="s">
        <v>277</v>
      </c>
      <c r="AE307" s="288" t="s">
        <v>3</v>
      </c>
      <c r="AF307" s="289" t="s">
        <v>2</v>
      </c>
      <c r="AH307" s="373"/>
    </row>
    <row r="308" spans="1:34" ht="14.25" customHeight="1">
      <c r="A308" s="914"/>
      <c r="B308" s="863"/>
      <c r="C308" s="864"/>
      <c r="D308" s="864"/>
      <c r="E308" s="864"/>
      <c r="F308" s="864"/>
      <c r="G308" s="864"/>
      <c r="H308" s="864"/>
      <c r="I308" s="864"/>
      <c r="J308" s="865"/>
      <c r="K308" s="873"/>
      <c r="L308" s="873"/>
      <c r="M308" s="873"/>
      <c r="N308" s="873"/>
      <c r="O308" s="874"/>
      <c r="P308" s="798"/>
      <c r="Q308" s="798"/>
      <c r="R308" s="798"/>
      <c r="S308" s="798"/>
      <c r="T308" s="881"/>
      <c r="U308" s="882"/>
      <c r="V308" s="882"/>
      <c r="W308" s="883"/>
      <c r="X308" s="456"/>
      <c r="Y308" s="984"/>
      <c r="Z308" s="253">
        <v>40</v>
      </c>
      <c r="AA308" s="270">
        <f>IF(z_kateg="высшая",AE308,AF308)</f>
        <v>0</v>
      </c>
      <c r="AE308" s="286">
        <v>40</v>
      </c>
      <c r="AF308" s="287">
        <v>0</v>
      </c>
      <c r="AH308" s="373"/>
    </row>
    <row r="309" spans="1:34" ht="12.75">
      <c r="A309" s="914"/>
      <c r="B309" s="863"/>
      <c r="C309" s="864"/>
      <c r="D309" s="864"/>
      <c r="E309" s="864"/>
      <c r="F309" s="864"/>
      <c r="G309" s="864"/>
      <c r="H309" s="864"/>
      <c r="I309" s="864"/>
      <c r="J309" s="865"/>
      <c r="K309" s="873"/>
      <c r="L309" s="873"/>
      <c r="M309" s="873"/>
      <c r="N309" s="873"/>
      <c r="O309" s="874"/>
      <c r="P309" s="798"/>
      <c r="Q309" s="798"/>
      <c r="R309" s="798"/>
      <c r="S309" s="798"/>
      <c r="T309" s="881"/>
      <c r="U309" s="882"/>
      <c r="V309" s="882"/>
      <c r="W309" s="883"/>
      <c r="X309" s="456"/>
      <c r="Y309" s="984"/>
      <c r="AH309" s="373"/>
    </row>
    <row r="310" spans="1:34" ht="12.75">
      <c r="A310" s="915"/>
      <c r="B310" s="866"/>
      <c r="C310" s="867"/>
      <c r="D310" s="867"/>
      <c r="E310" s="867"/>
      <c r="F310" s="867"/>
      <c r="G310" s="867"/>
      <c r="H310" s="867"/>
      <c r="I310" s="867"/>
      <c r="J310" s="868"/>
      <c r="K310" s="876"/>
      <c r="L310" s="876"/>
      <c r="M310" s="876"/>
      <c r="N310" s="876"/>
      <c r="O310" s="877"/>
      <c r="P310" s="798"/>
      <c r="Q310" s="798"/>
      <c r="R310" s="798"/>
      <c r="S310" s="798"/>
      <c r="T310" s="884"/>
      <c r="U310" s="885"/>
      <c r="V310" s="885"/>
      <c r="W310" s="886"/>
      <c r="X310" s="456"/>
      <c r="Y310" s="984"/>
      <c r="AH310" s="373"/>
    </row>
    <row r="311" spans="1:34" ht="14.25" customHeight="1">
      <c r="A311" s="849" t="s">
        <v>190</v>
      </c>
      <c r="B311" s="860"/>
      <c r="C311" s="861"/>
      <c r="D311" s="861"/>
      <c r="E311" s="861"/>
      <c r="F311" s="861"/>
      <c r="G311" s="861"/>
      <c r="H311" s="861"/>
      <c r="I311" s="861"/>
      <c r="J311" s="862"/>
      <c r="K311" s="870">
        <f>IF(AND(FIO&lt;&gt;"",P311="",T311=""),0,IF(z_kateg="первая","Не заполнять  на первую кв.кат.!",""))</f>
      </c>
      <c r="L311" s="870"/>
      <c r="M311" s="870"/>
      <c r="N311" s="870"/>
      <c r="O311" s="871"/>
      <c r="P311" s="798"/>
      <c r="Q311" s="798"/>
      <c r="R311" s="798"/>
      <c r="S311" s="798"/>
      <c r="T311" s="878"/>
      <c r="U311" s="879"/>
      <c r="V311" s="879"/>
      <c r="W311" s="880"/>
      <c r="X311" s="456"/>
      <c r="Y311" s="984">
        <f>IF(z_kateg="первая",0,MAX(K311:W314))</f>
        <v>0</v>
      </c>
      <c r="AH311" s="373"/>
    </row>
    <row r="312" spans="1:34" ht="12.75">
      <c r="A312" s="850"/>
      <c r="B312" s="863"/>
      <c r="C312" s="864"/>
      <c r="D312" s="864"/>
      <c r="E312" s="864"/>
      <c r="F312" s="864"/>
      <c r="G312" s="864"/>
      <c r="H312" s="864"/>
      <c r="I312" s="864"/>
      <c r="J312" s="865"/>
      <c r="K312" s="873"/>
      <c r="L312" s="873"/>
      <c r="M312" s="873"/>
      <c r="N312" s="873"/>
      <c r="O312" s="874"/>
      <c r="P312" s="798"/>
      <c r="Q312" s="798"/>
      <c r="R312" s="798"/>
      <c r="S312" s="798"/>
      <c r="T312" s="881"/>
      <c r="U312" s="882"/>
      <c r="V312" s="882"/>
      <c r="W312" s="883"/>
      <c r="X312" s="456"/>
      <c r="Y312" s="984"/>
      <c r="AH312" s="373"/>
    </row>
    <row r="313" spans="1:34" ht="14.25" customHeight="1">
      <c r="A313" s="850"/>
      <c r="B313" s="863"/>
      <c r="C313" s="864"/>
      <c r="D313" s="864"/>
      <c r="E313" s="864"/>
      <c r="F313" s="864"/>
      <c r="G313" s="864"/>
      <c r="H313" s="864"/>
      <c r="I313" s="864"/>
      <c r="J313" s="865"/>
      <c r="K313" s="873"/>
      <c r="L313" s="873"/>
      <c r="M313" s="873"/>
      <c r="N313" s="873"/>
      <c r="O313" s="874"/>
      <c r="P313" s="798"/>
      <c r="Q313" s="798"/>
      <c r="R313" s="798"/>
      <c r="S313" s="798"/>
      <c r="T313" s="881"/>
      <c r="U313" s="882"/>
      <c r="V313" s="882"/>
      <c r="W313" s="883"/>
      <c r="X313" s="456"/>
      <c r="Y313" s="984"/>
      <c r="AH313" s="373"/>
    </row>
    <row r="314" spans="1:34" ht="12.75">
      <c r="A314" s="851"/>
      <c r="B314" s="866"/>
      <c r="C314" s="867"/>
      <c r="D314" s="867"/>
      <c r="E314" s="867"/>
      <c r="F314" s="867"/>
      <c r="G314" s="867"/>
      <c r="H314" s="867"/>
      <c r="I314" s="867"/>
      <c r="J314" s="868"/>
      <c r="K314" s="876"/>
      <c r="L314" s="876"/>
      <c r="M314" s="876"/>
      <c r="N314" s="876"/>
      <c r="O314" s="877"/>
      <c r="P314" s="798"/>
      <c r="Q314" s="798"/>
      <c r="R314" s="798"/>
      <c r="S314" s="798"/>
      <c r="T314" s="884"/>
      <c r="U314" s="885"/>
      <c r="V314" s="885"/>
      <c r="W314" s="886"/>
      <c r="X314" s="456"/>
      <c r="Y314" s="984"/>
      <c r="AH314" s="373"/>
    </row>
    <row r="315" spans="24:34" ht="6.75" customHeight="1">
      <c r="X315" s="456"/>
      <c r="AH315" s="373"/>
    </row>
    <row r="316" spans="1:34" ht="14.25">
      <c r="A316" s="263" t="s">
        <v>227</v>
      </c>
      <c r="B316" s="198" t="s">
        <v>228</v>
      </c>
      <c r="X316" s="456"/>
      <c r="AH316" s="373"/>
    </row>
    <row r="317" spans="1:34" ht="14.25">
      <c r="A317" s="766" t="s">
        <v>204</v>
      </c>
      <c r="B317" s="769" t="s">
        <v>205</v>
      </c>
      <c r="C317" s="770"/>
      <c r="D317" s="770"/>
      <c r="E317" s="770"/>
      <c r="F317" s="770"/>
      <c r="G317" s="770"/>
      <c r="H317" s="770"/>
      <c r="I317" s="775" t="s">
        <v>206</v>
      </c>
      <c r="J317" s="776"/>
      <c r="K317" s="776"/>
      <c r="L317" s="776"/>
      <c r="M317" s="776"/>
      <c r="N317" s="776"/>
      <c r="O317" s="776"/>
      <c r="P317" s="776"/>
      <c r="Q317" s="776"/>
      <c r="R317" s="776"/>
      <c r="S317" s="776"/>
      <c r="T317" s="776"/>
      <c r="U317" s="776"/>
      <c r="V317" s="776"/>
      <c r="W317" s="777"/>
      <c r="X317" s="456"/>
      <c r="AH317" s="373"/>
    </row>
    <row r="318" spans="1:34" ht="14.25" customHeight="1">
      <c r="A318" s="767"/>
      <c r="B318" s="771"/>
      <c r="C318" s="772"/>
      <c r="D318" s="772"/>
      <c r="E318" s="772"/>
      <c r="F318" s="772"/>
      <c r="G318" s="772"/>
      <c r="H318" s="772"/>
      <c r="I318" s="778" t="s">
        <v>207</v>
      </c>
      <c r="J318" s="779"/>
      <c r="K318" s="779"/>
      <c r="L318" s="779"/>
      <c r="M318" s="779"/>
      <c r="N318" s="779"/>
      <c r="O318" s="779"/>
      <c r="P318" s="779"/>
      <c r="Q318" s="779"/>
      <c r="R318" s="779"/>
      <c r="S318" s="779"/>
      <c r="T318" s="779"/>
      <c r="U318" s="779"/>
      <c r="V318" s="779"/>
      <c r="W318" s="780"/>
      <c r="X318" s="456"/>
      <c r="AH318" s="373"/>
    </row>
    <row r="319" spans="1:34" ht="14.25" customHeight="1">
      <c r="A319" s="768"/>
      <c r="B319" s="773"/>
      <c r="C319" s="774"/>
      <c r="D319" s="774"/>
      <c r="E319" s="774"/>
      <c r="F319" s="774"/>
      <c r="G319" s="774"/>
      <c r="H319" s="774"/>
      <c r="I319" s="781">
        <v>0</v>
      </c>
      <c r="J319" s="781"/>
      <c r="K319" s="781"/>
      <c r="L319" s="781"/>
      <c r="M319" s="781"/>
      <c r="N319" s="781">
        <v>10</v>
      </c>
      <c r="O319" s="781"/>
      <c r="P319" s="781"/>
      <c r="Q319" s="781"/>
      <c r="R319" s="781"/>
      <c r="S319" s="781">
        <v>20</v>
      </c>
      <c r="T319" s="781"/>
      <c r="U319" s="781"/>
      <c r="V319" s="781"/>
      <c r="W319" s="781"/>
      <c r="X319" s="456"/>
      <c r="AH319" s="373"/>
    </row>
    <row r="320" spans="1:34" ht="12.75" customHeight="1">
      <c r="A320" s="849" t="s">
        <v>230</v>
      </c>
      <c r="B320" s="817" t="s">
        <v>706</v>
      </c>
      <c r="C320" s="826"/>
      <c r="D320" s="826"/>
      <c r="E320" s="826"/>
      <c r="F320" s="826"/>
      <c r="G320" s="826"/>
      <c r="H320" s="827"/>
      <c r="I320" s="1111" t="s">
        <v>707</v>
      </c>
      <c r="J320" s="1111"/>
      <c r="K320" s="1111"/>
      <c r="L320" s="1111"/>
      <c r="M320" s="1111"/>
      <c r="N320" s="1111" t="s">
        <v>708</v>
      </c>
      <c r="O320" s="1111"/>
      <c r="P320" s="1111"/>
      <c r="Q320" s="1111"/>
      <c r="R320" s="1111"/>
      <c r="S320" s="1111" t="s">
        <v>709</v>
      </c>
      <c r="T320" s="1111"/>
      <c r="U320" s="1111"/>
      <c r="V320" s="1111"/>
      <c r="W320" s="1111"/>
      <c r="X320" s="456"/>
      <c r="AH320" s="373"/>
    </row>
    <row r="321" spans="1:34" ht="15.75" customHeight="1">
      <c r="A321" s="850"/>
      <c r="B321" s="828"/>
      <c r="C321" s="829"/>
      <c r="D321" s="829"/>
      <c r="E321" s="829"/>
      <c r="F321" s="829"/>
      <c r="G321" s="829"/>
      <c r="H321" s="830"/>
      <c r="I321" s="1111"/>
      <c r="J321" s="1111"/>
      <c r="K321" s="1111"/>
      <c r="L321" s="1111"/>
      <c r="M321" s="1111"/>
      <c r="N321" s="1111"/>
      <c r="O321" s="1111"/>
      <c r="P321" s="1111"/>
      <c r="Q321" s="1111"/>
      <c r="R321" s="1111"/>
      <c r="S321" s="1111"/>
      <c r="T321" s="1111"/>
      <c r="U321" s="1111"/>
      <c r="V321" s="1111"/>
      <c r="W321" s="1111"/>
      <c r="X321" s="456"/>
      <c r="Y321" s="12"/>
      <c r="Z321" s="243"/>
      <c r="AA321" s="279"/>
      <c r="AB321" s="279"/>
      <c r="AC321" s="12"/>
      <c r="AD321" s="12"/>
      <c r="AE321" s="12"/>
      <c r="AH321" s="373"/>
    </row>
    <row r="322" spans="1:34" ht="12.75">
      <c r="A322" s="850"/>
      <c r="B322" s="828"/>
      <c r="C322" s="829"/>
      <c r="D322" s="829"/>
      <c r="E322" s="829"/>
      <c r="F322" s="829"/>
      <c r="G322" s="829"/>
      <c r="H322" s="830"/>
      <c r="I322" s="797">
        <f>IF(Y323=0,IF(FIO="","",0),"")</f>
      </c>
      <c r="J322" s="797"/>
      <c r="K322" s="797"/>
      <c r="L322" s="797"/>
      <c r="M322" s="797"/>
      <c r="N322" s="798"/>
      <c r="O322" s="798"/>
      <c r="P322" s="798"/>
      <c r="Q322" s="798"/>
      <c r="R322" s="798"/>
      <c r="S322" s="798"/>
      <c r="T322" s="798"/>
      <c r="U322" s="798"/>
      <c r="V322" s="798"/>
      <c r="W322" s="798"/>
      <c r="X322" s="456"/>
      <c r="Z322" s="251" t="s">
        <v>209</v>
      </c>
      <c r="AA322" s="252" t="s">
        <v>277</v>
      </c>
      <c r="AE322" s="288" t="s">
        <v>3</v>
      </c>
      <c r="AF322" s="289" t="s">
        <v>2</v>
      </c>
      <c r="AH322" s="373"/>
    </row>
    <row r="323" spans="1:34" ht="12.75">
      <c r="A323" s="851"/>
      <c r="B323" s="831"/>
      <c r="C323" s="832"/>
      <c r="D323" s="832"/>
      <c r="E323" s="832"/>
      <c r="F323" s="832"/>
      <c r="G323" s="832"/>
      <c r="H323" s="833"/>
      <c r="I323" s="797"/>
      <c r="J323" s="797"/>
      <c r="K323" s="797"/>
      <c r="L323" s="797"/>
      <c r="M323" s="797"/>
      <c r="N323" s="798"/>
      <c r="O323" s="798"/>
      <c r="P323" s="798"/>
      <c r="Q323" s="798"/>
      <c r="R323" s="798"/>
      <c r="S323" s="798"/>
      <c r="T323" s="798"/>
      <c r="U323" s="798"/>
      <c r="V323" s="798"/>
      <c r="W323" s="798"/>
      <c r="X323" s="456"/>
      <c r="Y323" s="267">
        <f>MAX(N322:W323)</f>
        <v>0</v>
      </c>
      <c r="Z323" s="253">
        <v>20</v>
      </c>
      <c r="AA323" s="270">
        <f>IF(z_kateg="высшая",AE323,AF323)</f>
        <v>10</v>
      </c>
      <c r="AE323" s="286">
        <v>20</v>
      </c>
      <c r="AF323" s="287">
        <v>10</v>
      </c>
      <c r="AH323" s="373"/>
    </row>
    <row r="324" spans="1:34" ht="14.25">
      <c r="A324" s="766" t="s">
        <v>204</v>
      </c>
      <c r="B324" s="769" t="s">
        <v>205</v>
      </c>
      <c r="C324" s="770"/>
      <c r="D324" s="770"/>
      <c r="E324" s="770"/>
      <c r="F324" s="775" t="s">
        <v>206</v>
      </c>
      <c r="G324" s="776"/>
      <c r="H324" s="776"/>
      <c r="I324" s="776"/>
      <c r="J324" s="776"/>
      <c r="K324" s="776"/>
      <c r="L324" s="776"/>
      <c r="M324" s="776"/>
      <c r="N324" s="776"/>
      <c r="O324" s="776"/>
      <c r="P324" s="776"/>
      <c r="Q324" s="776"/>
      <c r="R324" s="776"/>
      <c r="S324" s="776"/>
      <c r="T324" s="776"/>
      <c r="U324" s="776"/>
      <c r="V324" s="776"/>
      <c r="W324" s="777"/>
      <c r="X324" s="456"/>
      <c r="Y324" s="12"/>
      <c r="AA324" s="12"/>
      <c r="AC324" s="12"/>
      <c r="AE324" s="12"/>
      <c r="AH324" s="373"/>
    </row>
    <row r="325" spans="1:34" ht="14.25" customHeight="1">
      <c r="A325" s="767"/>
      <c r="B325" s="771"/>
      <c r="C325" s="772"/>
      <c r="D325" s="772"/>
      <c r="E325" s="772"/>
      <c r="F325" s="778" t="s">
        <v>211</v>
      </c>
      <c r="G325" s="779"/>
      <c r="H325" s="779"/>
      <c r="I325" s="779"/>
      <c r="J325" s="779"/>
      <c r="K325" s="779"/>
      <c r="L325" s="779"/>
      <c r="M325" s="779"/>
      <c r="N325" s="779"/>
      <c r="O325" s="779"/>
      <c r="P325" s="779"/>
      <c r="Q325" s="779"/>
      <c r="R325" s="779"/>
      <c r="S325" s="779"/>
      <c r="T325" s="779"/>
      <c r="U325" s="779"/>
      <c r="V325" s="779"/>
      <c r="W325" s="780"/>
      <c r="X325" s="456"/>
      <c r="Y325" s="12"/>
      <c r="Z325" s="12"/>
      <c r="AA325" s="12"/>
      <c r="AB325" s="12"/>
      <c r="AC325" s="12"/>
      <c r="AD325" s="12"/>
      <c r="AE325" s="12"/>
      <c r="AH325" s="373"/>
    </row>
    <row r="326" spans="1:34" ht="14.25" customHeight="1">
      <c r="A326" s="768"/>
      <c r="B326" s="771"/>
      <c r="C326" s="772"/>
      <c r="D326" s="772"/>
      <c r="E326" s="772"/>
      <c r="F326" s="916">
        <v>0</v>
      </c>
      <c r="G326" s="917"/>
      <c r="H326" s="918"/>
      <c r="I326" s="923">
        <v>10</v>
      </c>
      <c r="J326" s="924"/>
      <c r="K326" s="925"/>
      <c r="L326" s="923" t="s">
        <v>264</v>
      </c>
      <c r="M326" s="924"/>
      <c r="N326" s="924"/>
      <c r="O326" s="925"/>
      <c r="P326" s="923" t="s">
        <v>715</v>
      </c>
      <c r="Q326" s="924"/>
      <c r="R326" s="924"/>
      <c r="S326" s="925"/>
      <c r="T326" s="923" t="s">
        <v>716</v>
      </c>
      <c r="U326" s="924"/>
      <c r="V326" s="924"/>
      <c r="W326" s="925"/>
      <c r="X326" s="456"/>
      <c r="Y326" s="12"/>
      <c r="Z326" s="12"/>
      <c r="AA326" s="12"/>
      <c r="AB326" s="12"/>
      <c r="AC326" s="12"/>
      <c r="AD326" s="12"/>
      <c r="AE326" s="12"/>
      <c r="AH326" s="373"/>
    </row>
    <row r="327" spans="1:34" ht="12.75" customHeight="1">
      <c r="A327" s="849" t="s">
        <v>232</v>
      </c>
      <c r="B327" s="817" t="s">
        <v>510</v>
      </c>
      <c r="C327" s="826"/>
      <c r="D327" s="826"/>
      <c r="E327" s="827"/>
      <c r="F327" s="802" t="s">
        <v>283</v>
      </c>
      <c r="G327" s="803"/>
      <c r="H327" s="804"/>
      <c r="I327" s="802" t="s">
        <v>409</v>
      </c>
      <c r="J327" s="803"/>
      <c r="K327" s="804"/>
      <c r="L327" s="802" t="s">
        <v>673</v>
      </c>
      <c r="M327" s="803"/>
      <c r="N327" s="803"/>
      <c r="O327" s="804"/>
      <c r="P327" s="802" t="s">
        <v>408</v>
      </c>
      <c r="Q327" s="803"/>
      <c r="R327" s="803"/>
      <c r="S327" s="804"/>
      <c r="T327" s="802" t="s">
        <v>407</v>
      </c>
      <c r="U327" s="803"/>
      <c r="V327" s="803"/>
      <c r="W327" s="804"/>
      <c r="X327" s="456"/>
      <c r="Y327" s="12"/>
      <c r="AA327" s="12"/>
      <c r="AB327" s="12"/>
      <c r="AC327" s="12"/>
      <c r="AH327" s="373"/>
    </row>
    <row r="328" spans="1:34" ht="12.75" customHeight="1">
      <c r="A328" s="850"/>
      <c r="B328" s="828"/>
      <c r="C328" s="829"/>
      <c r="D328" s="829"/>
      <c r="E328" s="830"/>
      <c r="F328" s="805"/>
      <c r="G328" s="806"/>
      <c r="H328" s="807"/>
      <c r="I328" s="805"/>
      <c r="J328" s="806"/>
      <c r="K328" s="807"/>
      <c r="L328" s="805"/>
      <c r="M328" s="806"/>
      <c r="N328" s="806"/>
      <c r="O328" s="807"/>
      <c r="P328" s="805"/>
      <c r="Q328" s="806"/>
      <c r="R328" s="806"/>
      <c r="S328" s="807"/>
      <c r="T328" s="805"/>
      <c r="U328" s="806"/>
      <c r="V328" s="806"/>
      <c r="W328" s="807"/>
      <c r="X328" s="456"/>
      <c r="Y328" s="12"/>
      <c r="AA328" s="12"/>
      <c r="AB328" s="12"/>
      <c r="AC328" s="12"/>
      <c r="AH328" s="373"/>
    </row>
    <row r="329" spans="1:34" ht="23.25" customHeight="1">
      <c r="A329" s="850"/>
      <c r="B329" s="828"/>
      <c r="C329" s="829"/>
      <c r="D329" s="829"/>
      <c r="E329" s="830"/>
      <c r="F329" s="805"/>
      <c r="G329" s="806"/>
      <c r="H329" s="807"/>
      <c r="I329" s="805"/>
      <c r="J329" s="806"/>
      <c r="K329" s="807"/>
      <c r="L329" s="805"/>
      <c r="M329" s="806"/>
      <c r="N329" s="806"/>
      <c r="O329" s="807"/>
      <c r="P329" s="805"/>
      <c r="Q329" s="806"/>
      <c r="R329" s="806"/>
      <c r="S329" s="807"/>
      <c r="T329" s="805"/>
      <c r="U329" s="806"/>
      <c r="V329" s="806"/>
      <c r="W329" s="807"/>
      <c r="X329" s="456"/>
      <c r="Y329" s="12"/>
      <c r="AA329" s="12"/>
      <c r="AB329" s="12"/>
      <c r="AC329" s="12"/>
      <c r="AH329" s="373"/>
    </row>
    <row r="330" spans="1:34" ht="21.75" customHeight="1">
      <c r="A330" s="850"/>
      <c r="B330" s="828"/>
      <c r="C330" s="829"/>
      <c r="D330" s="829"/>
      <c r="E330" s="830"/>
      <c r="F330" s="1058"/>
      <c r="G330" s="1059"/>
      <c r="H330" s="1060"/>
      <c r="I330" s="989"/>
      <c r="J330" s="990"/>
      <c r="K330" s="991"/>
      <c r="L330" s="782" t="s">
        <v>289</v>
      </c>
      <c r="M330" s="783"/>
      <c r="N330" s="783"/>
      <c r="O330" s="783"/>
      <c r="P330" s="782" t="s">
        <v>291</v>
      </c>
      <c r="Q330" s="783"/>
      <c r="R330" s="783"/>
      <c r="S330" s="783"/>
      <c r="T330" s="782" t="s">
        <v>293</v>
      </c>
      <c r="U330" s="783"/>
      <c r="V330" s="783"/>
      <c r="W330" s="784"/>
      <c r="X330" s="456"/>
      <c r="Y330" s="12"/>
      <c r="AH330" s="373"/>
    </row>
    <row r="331" spans="1:34" ht="17.25" customHeight="1">
      <c r="A331" s="850"/>
      <c r="B331" s="828"/>
      <c r="C331" s="829"/>
      <c r="D331" s="829"/>
      <c r="E331" s="830"/>
      <c r="F331" s="1061"/>
      <c r="G331" s="1062"/>
      <c r="H331" s="1063"/>
      <c r="I331" s="989"/>
      <c r="J331" s="990"/>
      <c r="K331" s="991"/>
      <c r="L331" s="969" t="s">
        <v>290</v>
      </c>
      <c r="M331" s="970"/>
      <c r="N331" s="970"/>
      <c r="O331" s="970"/>
      <c r="P331" s="969" t="s">
        <v>292</v>
      </c>
      <c r="Q331" s="970"/>
      <c r="R331" s="970"/>
      <c r="S331" s="970"/>
      <c r="T331" s="969" t="s">
        <v>281</v>
      </c>
      <c r="U331" s="970"/>
      <c r="V331" s="970"/>
      <c r="W331" s="971"/>
      <c r="X331" s="456"/>
      <c r="Y331" s="12"/>
      <c r="AH331" s="373"/>
    </row>
    <row r="332" spans="1:34" ht="12.75" customHeight="1">
      <c r="A332" s="850"/>
      <c r="B332" s="828"/>
      <c r="C332" s="829"/>
      <c r="D332" s="829"/>
      <c r="E332" s="830"/>
      <c r="F332" s="869">
        <f>IF(Y333=0,IF(FIO="","",0),"")</f>
      </c>
      <c r="G332" s="818"/>
      <c r="H332" s="819"/>
      <c r="I332" s="956"/>
      <c r="J332" s="957"/>
      <c r="K332" s="958"/>
      <c r="L332" s="798"/>
      <c r="M332" s="798"/>
      <c r="N332" s="798"/>
      <c r="O332" s="798"/>
      <c r="P332" s="798"/>
      <c r="Q332" s="798"/>
      <c r="R332" s="798"/>
      <c r="S332" s="798"/>
      <c r="T332" s="798"/>
      <c r="U332" s="798"/>
      <c r="V332" s="798"/>
      <c r="W332" s="798"/>
      <c r="X332" s="456"/>
      <c r="Z332" s="251" t="s">
        <v>209</v>
      </c>
      <c r="AA332" s="252" t="s">
        <v>277</v>
      </c>
      <c r="AE332" s="288" t="s">
        <v>3</v>
      </c>
      <c r="AF332" s="289" t="s">
        <v>2</v>
      </c>
      <c r="AH332" s="373"/>
    </row>
    <row r="333" spans="1:34" ht="12.75" customHeight="1">
      <c r="A333" s="851"/>
      <c r="B333" s="1065" t="s">
        <v>309</v>
      </c>
      <c r="C333" s="1066"/>
      <c r="D333" s="1066"/>
      <c r="E333" s="1067"/>
      <c r="F333" s="823"/>
      <c r="G333" s="824"/>
      <c r="H333" s="825"/>
      <c r="I333" s="959"/>
      <c r="J333" s="960"/>
      <c r="K333" s="961"/>
      <c r="L333" s="798"/>
      <c r="M333" s="798"/>
      <c r="N333" s="798"/>
      <c r="O333" s="798"/>
      <c r="P333" s="798"/>
      <c r="Q333" s="798"/>
      <c r="R333" s="798"/>
      <c r="S333" s="798"/>
      <c r="T333" s="798"/>
      <c r="U333" s="798"/>
      <c r="V333" s="798"/>
      <c r="W333" s="798"/>
      <c r="X333" s="456"/>
      <c r="Y333" s="267">
        <f>SUM(I332:W333)</f>
        <v>0</v>
      </c>
      <c r="Z333" s="253">
        <v>100</v>
      </c>
      <c r="AA333" s="270">
        <f>IF(z_kateg="высшая",AE333,AF333)</f>
        <v>10</v>
      </c>
      <c r="AE333" s="286">
        <v>20</v>
      </c>
      <c r="AF333" s="287">
        <v>10</v>
      </c>
      <c r="AH333" s="373"/>
    </row>
    <row r="334" spans="1:34" ht="12.75" customHeight="1">
      <c r="A334" s="849" t="s">
        <v>233</v>
      </c>
      <c r="B334" s="817" t="s">
        <v>710</v>
      </c>
      <c r="C334" s="826"/>
      <c r="D334" s="826"/>
      <c r="E334" s="827"/>
      <c r="F334" s="802" t="s">
        <v>283</v>
      </c>
      <c r="G334" s="803"/>
      <c r="H334" s="804"/>
      <c r="I334" s="802" t="s">
        <v>409</v>
      </c>
      <c r="J334" s="803"/>
      <c r="K334" s="804"/>
      <c r="L334" s="802" t="s">
        <v>673</v>
      </c>
      <c r="M334" s="803"/>
      <c r="N334" s="803"/>
      <c r="O334" s="804"/>
      <c r="P334" s="802" t="s">
        <v>408</v>
      </c>
      <c r="Q334" s="803"/>
      <c r="R334" s="803"/>
      <c r="S334" s="804"/>
      <c r="T334" s="802" t="s">
        <v>407</v>
      </c>
      <c r="U334" s="803"/>
      <c r="V334" s="803"/>
      <c r="W334" s="804"/>
      <c r="X334" s="456"/>
      <c r="Y334" s="12"/>
      <c r="AA334" s="12"/>
      <c r="AB334" s="12"/>
      <c r="AC334" s="12"/>
      <c r="AH334" s="373"/>
    </row>
    <row r="335" spans="1:34" ht="15.75" customHeight="1">
      <c r="A335" s="850"/>
      <c r="B335" s="828"/>
      <c r="C335" s="829"/>
      <c r="D335" s="829"/>
      <c r="E335" s="830"/>
      <c r="F335" s="805"/>
      <c r="G335" s="806"/>
      <c r="H335" s="807"/>
      <c r="I335" s="805"/>
      <c r="J335" s="806"/>
      <c r="K335" s="807"/>
      <c r="L335" s="805"/>
      <c r="M335" s="806"/>
      <c r="N335" s="806"/>
      <c r="O335" s="807"/>
      <c r="P335" s="805"/>
      <c r="Q335" s="806"/>
      <c r="R335" s="806"/>
      <c r="S335" s="807"/>
      <c r="T335" s="805"/>
      <c r="U335" s="806"/>
      <c r="V335" s="806"/>
      <c r="W335" s="807"/>
      <c r="X335" s="456"/>
      <c r="Y335" s="12"/>
      <c r="AA335" s="12"/>
      <c r="AB335" s="12"/>
      <c r="AC335" s="12"/>
      <c r="AH335" s="373"/>
    </row>
    <row r="336" spans="1:34" ht="12.75" customHeight="1">
      <c r="A336" s="850"/>
      <c r="B336" s="828"/>
      <c r="C336" s="829"/>
      <c r="D336" s="829"/>
      <c r="E336" s="830"/>
      <c r="F336" s="805"/>
      <c r="G336" s="806"/>
      <c r="H336" s="807"/>
      <c r="I336" s="805"/>
      <c r="J336" s="806"/>
      <c r="K336" s="807"/>
      <c r="L336" s="805"/>
      <c r="M336" s="806"/>
      <c r="N336" s="806"/>
      <c r="O336" s="807"/>
      <c r="P336" s="805"/>
      <c r="Q336" s="806"/>
      <c r="R336" s="806"/>
      <c r="S336" s="807"/>
      <c r="T336" s="805"/>
      <c r="U336" s="806"/>
      <c r="V336" s="806"/>
      <c r="W336" s="807"/>
      <c r="X336" s="456"/>
      <c r="Y336" s="12"/>
      <c r="AA336" s="12"/>
      <c r="AB336" s="12"/>
      <c r="AC336" s="12"/>
      <c r="AH336" s="373"/>
    </row>
    <row r="337" spans="1:34" ht="12.75" customHeight="1">
      <c r="A337" s="850"/>
      <c r="B337" s="828"/>
      <c r="C337" s="829"/>
      <c r="D337" s="829"/>
      <c r="E337" s="830"/>
      <c r="F337" s="1058"/>
      <c r="G337" s="1059"/>
      <c r="H337" s="1060"/>
      <c r="I337" s="989"/>
      <c r="J337" s="990"/>
      <c r="K337" s="991"/>
      <c r="L337" s="782" t="s">
        <v>711</v>
      </c>
      <c r="M337" s="783"/>
      <c r="N337" s="783"/>
      <c r="O337" s="784"/>
      <c r="P337" s="782" t="s">
        <v>712</v>
      </c>
      <c r="Q337" s="783"/>
      <c r="R337" s="783"/>
      <c r="S337" s="784"/>
      <c r="T337" s="782" t="s">
        <v>713</v>
      </c>
      <c r="U337" s="783"/>
      <c r="V337" s="783"/>
      <c r="W337" s="784"/>
      <c r="X337" s="456"/>
      <c r="Y337" s="12"/>
      <c r="AH337" s="373"/>
    </row>
    <row r="338" spans="1:34" ht="12.75" customHeight="1">
      <c r="A338" s="850"/>
      <c r="B338" s="828"/>
      <c r="C338" s="829"/>
      <c r="D338" s="829"/>
      <c r="E338" s="830"/>
      <c r="F338" s="1061"/>
      <c r="G338" s="1062"/>
      <c r="H338" s="1063"/>
      <c r="I338" s="989"/>
      <c r="J338" s="990"/>
      <c r="K338" s="991"/>
      <c r="L338" s="969" t="s">
        <v>290</v>
      </c>
      <c r="M338" s="970"/>
      <c r="N338" s="970"/>
      <c r="O338" s="971"/>
      <c r="P338" s="969" t="s">
        <v>714</v>
      </c>
      <c r="Q338" s="970"/>
      <c r="R338" s="970"/>
      <c r="S338" s="971"/>
      <c r="T338" s="969" t="s">
        <v>416</v>
      </c>
      <c r="U338" s="970"/>
      <c r="V338" s="970"/>
      <c r="W338" s="971"/>
      <c r="X338" s="456"/>
      <c r="Y338" s="12"/>
      <c r="AH338" s="373"/>
    </row>
    <row r="339" spans="1:34" ht="12.75" customHeight="1">
      <c r="A339" s="850"/>
      <c r="B339" s="791" t="str">
        <f>B333</f>
        <v>(далее – Прил. № 4)</v>
      </c>
      <c r="C339" s="792"/>
      <c r="D339" s="792"/>
      <c r="E339" s="793"/>
      <c r="F339" s="869">
        <f>IF(Y340=0,IF(FIO="","",0),"")</f>
      </c>
      <c r="G339" s="818"/>
      <c r="H339" s="819"/>
      <c r="I339" s="956"/>
      <c r="J339" s="957"/>
      <c r="K339" s="958"/>
      <c r="L339" s="956"/>
      <c r="M339" s="957"/>
      <c r="N339" s="957"/>
      <c r="O339" s="958"/>
      <c r="P339" s="956"/>
      <c r="Q339" s="957"/>
      <c r="R339" s="957"/>
      <c r="S339" s="958"/>
      <c r="T339" s="956"/>
      <c r="U339" s="957"/>
      <c r="V339" s="957"/>
      <c r="W339" s="958"/>
      <c r="X339" s="456"/>
      <c r="Z339" s="251" t="s">
        <v>209</v>
      </c>
      <c r="AA339" s="252" t="s">
        <v>277</v>
      </c>
      <c r="AE339" s="288" t="s">
        <v>3</v>
      </c>
      <c r="AF339" s="289" t="s">
        <v>2</v>
      </c>
      <c r="AH339" s="373"/>
    </row>
    <row r="340" spans="1:34" ht="12.75" customHeight="1">
      <c r="A340" s="851"/>
      <c r="B340" s="794"/>
      <c r="C340" s="795"/>
      <c r="D340" s="795"/>
      <c r="E340" s="796"/>
      <c r="F340" s="823"/>
      <c r="G340" s="824"/>
      <c r="H340" s="825"/>
      <c r="I340" s="959"/>
      <c r="J340" s="960"/>
      <c r="K340" s="961"/>
      <c r="L340" s="959"/>
      <c r="M340" s="960"/>
      <c r="N340" s="960"/>
      <c r="O340" s="961"/>
      <c r="P340" s="959"/>
      <c r="Q340" s="960"/>
      <c r="R340" s="960"/>
      <c r="S340" s="961"/>
      <c r="T340" s="959"/>
      <c r="U340" s="960"/>
      <c r="V340" s="960"/>
      <c r="W340" s="961"/>
      <c r="X340" s="456"/>
      <c r="Y340" s="267">
        <f>SUM(I339:W340)</f>
        <v>0</v>
      </c>
      <c r="Z340" s="253">
        <v>120</v>
      </c>
      <c r="AA340" s="270">
        <f>IF(z_kateg="высшая",AE340,AF340)</f>
        <v>10</v>
      </c>
      <c r="AE340" s="286">
        <v>20</v>
      </c>
      <c r="AF340" s="287">
        <v>10</v>
      </c>
      <c r="AH340" s="373"/>
    </row>
    <row r="341" spans="1:34" ht="12.75" customHeight="1">
      <c r="A341" s="849" t="s">
        <v>234</v>
      </c>
      <c r="B341" s="817" t="s">
        <v>464</v>
      </c>
      <c r="C341" s="826"/>
      <c r="D341" s="826"/>
      <c r="E341" s="827"/>
      <c r="F341" s="802" t="s">
        <v>283</v>
      </c>
      <c r="G341" s="803"/>
      <c r="H341" s="804"/>
      <c r="I341" s="802" t="s">
        <v>409</v>
      </c>
      <c r="J341" s="803"/>
      <c r="K341" s="804"/>
      <c r="L341" s="802" t="s">
        <v>673</v>
      </c>
      <c r="M341" s="803"/>
      <c r="N341" s="803"/>
      <c r="O341" s="804"/>
      <c r="P341" s="802" t="s">
        <v>408</v>
      </c>
      <c r="Q341" s="803"/>
      <c r="R341" s="803"/>
      <c r="S341" s="804"/>
      <c r="T341" s="802" t="s">
        <v>407</v>
      </c>
      <c r="U341" s="803"/>
      <c r="V341" s="803"/>
      <c r="W341" s="804"/>
      <c r="X341" s="456"/>
      <c r="Y341" s="12"/>
      <c r="AA341" s="12"/>
      <c r="AB341" s="12"/>
      <c r="AC341" s="12"/>
      <c r="AH341" s="373"/>
    </row>
    <row r="342" spans="1:34" ht="12.75" customHeight="1">
      <c r="A342" s="850"/>
      <c r="B342" s="828"/>
      <c r="C342" s="829"/>
      <c r="D342" s="829"/>
      <c r="E342" s="830"/>
      <c r="F342" s="805"/>
      <c r="G342" s="806"/>
      <c r="H342" s="807"/>
      <c r="I342" s="805"/>
      <c r="J342" s="806"/>
      <c r="K342" s="807"/>
      <c r="L342" s="805"/>
      <c r="M342" s="806"/>
      <c r="N342" s="806"/>
      <c r="O342" s="807"/>
      <c r="P342" s="805"/>
      <c r="Q342" s="806"/>
      <c r="R342" s="806"/>
      <c r="S342" s="807"/>
      <c r="T342" s="805"/>
      <c r="U342" s="806"/>
      <c r="V342" s="806"/>
      <c r="W342" s="807"/>
      <c r="X342" s="456"/>
      <c r="Y342" s="12"/>
      <c r="AA342" s="12"/>
      <c r="AB342" s="12"/>
      <c r="AC342" s="12"/>
      <c r="AH342" s="373"/>
    </row>
    <row r="343" spans="1:34" ht="15" customHeight="1">
      <c r="A343" s="850"/>
      <c r="B343" s="828"/>
      <c r="C343" s="829"/>
      <c r="D343" s="829"/>
      <c r="E343" s="830"/>
      <c r="F343" s="805"/>
      <c r="G343" s="806"/>
      <c r="H343" s="807"/>
      <c r="I343" s="805"/>
      <c r="J343" s="806"/>
      <c r="K343" s="807"/>
      <c r="L343" s="805"/>
      <c r="M343" s="806"/>
      <c r="N343" s="806"/>
      <c r="O343" s="807"/>
      <c r="P343" s="805"/>
      <c r="Q343" s="806"/>
      <c r="R343" s="806"/>
      <c r="S343" s="807"/>
      <c r="T343" s="805"/>
      <c r="U343" s="806"/>
      <c r="V343" s="806"/>
      <c r="W343" s="807"/>
      <c r="X343" s="456"/>
      <c r="Y343" s="12"/>
      <c r="AA343" s="12"/>
      <c r="AB343" s="12"/>
      <c r="AC343" s="12"/>
      <c r="AH343" s="373"/>
    </row>
    <row r="344" spans="1:34" ht="13.5" customHeight="1">
      <c r="A344" s="850"/>
      <c r="B344" s="828"/>
      <c r="C344" s="829"/>
      <c r="D344" s="829"/>
      <c r="E344" s="830"/>
      <c r="F344" s="1058"/>
      <c r="G344" s="1059"/>
      <c r="H344" s="1060"/>
      <c r="I344" s="989"/>
      <c r="J344" s="990"/>
      <c r="K344" s="991"/>
      <c r="L344" s="782" t="s">
        <v>294</v>
      </c>
      <c r="M344" s="783"/>
      <c r="N344" s="783"/>
      <c r="O344" s="784"/>
      <c r="P344" s="782" t="s">
        <v>295</v>
      </c>
      <c r="Q344" s="783"/>
      <c r="R344" s="783"/>
      <c r="S344" s="784"/>
      <c r="T344" s="782" t="s">
        <v>296</v>
      </c>
      <c r="U344" s="783"/>
      <c r="V344" s="783"/>
      <c r="W344" s="784"/>
      <c r="X344" s="456"/>
      <c r="Y344" s="12"/>
      <c r="AH344" s="373"/>
    </row>
    <row r="345" spans="1:34" ht="15" customHeight="1">
      <c r="A345" s="850"/>
      <c r="B345" s="828"/>
      <c r="C345" s="829"/>
      <c r="D345" s="829"/>
      <c r="E345" s="830"/>
      <c r="F345" s="1061"/>
      <c r="G345" s="1062"/>
      <c r="H345" s="1063"/>
      <c r="I345" s="989"/>
      <c r="J345" s="990"/>
      <c r="K345" s="991"/>
      <c r="L345" s="969" t="s">
        <v>290</v>
      </c>
      <c r="M345" s="970"/>
      <c r="N345" s="970"/>
      <c r="O345" s="971"/>
      <c r="P345" s="969" t="s">
        <v>292</v>
      </c>
      <c r="Q345" s="970"/>
      <c r="R345" s="970"/>
      <c r="S345" s="971"/>
      <c r="T345" s="969" t="s">
        <v>281</v>
      </c>
      <c r="U345" s="970"/>
      <c r="V345" s="970"/>
      <c r="W345" s="971"/>
      <c r="X345" s="456"/>
      <c r="Y345" s="12"/>
      <c r="AH345" s="373"/>
    </row>
    <row r="346" spans="1:34" ht="12.75" customHeight="1">
      <c r="A346" s="850"/>
      <c r="B346" s="828"/>
      <c r="C346" s="829"/>
      <c r="D346" s="829"/>
      <c r="E346" s="830"/>
      <c r="F346" s="869">
        <f>IF(Y347=0,IF(FIO="","",0),"")</f>
      </c>
      <c r="G346" s="818"/>
      <c r="H346" s="819"/>
      <c r="I346" s="956"/>
      <c r="J346" s="957"/>
      <c r="K346" s="958"/>
      <c r="L346" s="956"/>
      <c r="M346" s="957"/>
      <c r="N346" s="957"/>
      <c r="O346" s="958"/>
      <c r="P346" s="956"/>
      <c r="Q346" s="957"/>
      <c r="R346" s="957"/>
      <c r="S346" s="958"/>
      <c r="T346" s="956"/>
      <c r="U346" s="957"/>
      <c r="V346" s="957"/>
      <c r="W346" s="958"/>
      <c r="X346" s="456"/>
      <c r="Z346" s="251" t="s">
        <v>209</v>
      </c>
      <c r="AA346" s="252" t="s">
        <v>277</v>
      </c>
      <c r="AE346" s="288" t="s">
        <v>3</v>
      </c>
      <c r="AF346" s="289" t="s">
        <v>2</v>
      </c>
      <c r="AH346" s="373"/>
    </row>
    <row r="347" spans="1:34" ht="12.75" customHeight="1">
      <c r="A347" s="851"/>
      <c r="B347" s="794" t="str">
        <f>B333</f>
        <v>(далее – Прил. № 4)</v>
      </c>
      <c r="C347" s="795"/>
      <c r="D347" s="795"/>
      <c r="E347" s="796"/>
      <c r="F347" s="823"/>
      <c r="G347" s="824"/>
      <c r="H347" s="825"/>
      <c r="I347" s="959"/>
      <c r="J347" s="960"/>
      <c r="K347" s="961"/>
      <c r="L347" s="959"/>
      <c r="M347" s="960"/>
      <c r="N347" s="960"/>
      <c r="O347" s="961"/>
      <c r="P347" s="959"/>
      <c r="Q347" s="960"/>
      <c r="R347" s="960"/>
      <c r="S347" s="961"/>
      <c r="T347" s="959"/>
      <c r="U347" s="960"/>
      <c r="V347" s="960"/>
      <c r="W347" s="961"/>
      <c r="X347" s="456"/>
      <c r="Y347" s="267">
        <f>SUM(I346:W347)</f>
        <v>0</v>
      </c>
      <c r="Z347" s="253">
        <v>100</v>
      </c>
      <c r="AA347" s="270">
        <f>IF(z_kateg="высшая",AE347,AF347)</f>
        <v>0</v>
      </c>
      <c r="AE347" s="286">
        <v>10</v>
      </c>
      <c r="AF347" s="287">
        <v>0</v>
      </c>
      <c r="AH347" s="373"/>
    </row>
    <row r="348" spans="1:34" ht="14.25">
      <c r="A348" s="766" t="s">
        <v>204</v>
      </c>
      <c r="B348" s="769" t="s">
        <v>205</v>
      </c>
      <c r="C348" s="770"/>
      <c r="D348" s="770"/>
      <c r="E348" s="770"/>
      <c r="F348" s="775" t="s">
        <v>206</v>
      </c>
      <c r="G348" s="776"/>
      <c r="H348" s="776"/>
      <c r="I348" s="776"/>
      <c r="J348" s="776"/>
      <c r="K348" s="776"/>
      <c r="L348" s="776"/>
      <c r="M348" s="776"/>
      <c r="N348" s="776"/>
      <c r="O348" s="776"/>
      <c r="P348" s="776"/>
      <c r="Q348" s="776"/>
      <c r="R348" s="776"/>
      <c r="S348" s="776"/>
      <c r="T348" s="776"/>
      <c r="U348" s="776"/>
      <c r="V348" s="776"/>
      <c r="W348" s="777"/>
      <c r="X348" s="456"/>
      <c r="Y348" s="12"/>
      <c r="AH348" s="373"/>
    </row>
    <row r="349" spans="1:34" ht="12.75" customHeight="1">
      <c r="A349" s="767"/>
      <c r="B349" s="771"/>
      <c r="C349" s="772"/>
      <c r="D349" s="772"/>
      <c r="E349" s="772"/>
      <c r="F349" s="778" t="s">
        <v>211</v>
      </c>
      <c r="G349" s="779"/>
      <c r="H349" s="779"/>
      <c r="I349" s="779"/>
      <c r="J349" s="779"/>
      <c r="K349" s="779"/>
      <c r="L349" s="779"/>
      <c r="M349" s="779"/>
      <c r="N349" s="779"/>
      <c r="O349" s="779"/>
      <c r="P349" s="779"/>
      <c r="Q349" s="779"/>
      <c r="R349" s="779"/>
      <c r="S349" s="779"/>
      <c r="T349" s="779"/>
      <c r="U349" s="779"/>
      <c r="V349" s="779"/>
      <c r="W349" s="780"/>
      <c r="X349" s="456"/>
      <c r="AH349" s="373"/>
    </row>
    <row r="350" spans="1:34" ht="12.75" customHeight="1">
      <c r="A350" s="768"/>
      <c r="B350" s="773"/>
      <c r="C350" s="774"/>
      <c r="D350" s="774"/>
      <c r="E350" s="774"/>
      <c r="F350" s="781">
        <v>0</v>
      </c>
      <c r="G350" s="781"/>
      <c r="H350" s="781"/>
      <c r="I350" s="781">
        <v>10</v>
      </c>
      <c r="J350" s="781"/>
      <c r="K350" s="781"/>
      <c r="L350" s="781"/>
      <c r="M350" s="781"/>
      <c r="N350" s="781"/>
      <c r="O350" s="781"/>
      <c r="P350" s="916" t="s">
        <v>264</v>
      </c>
      <c r="Q350" s="917"/>
      <c r="R350" s="917"/>
      <c r="S350" s="917"/>
      <c r="T350" s="917"/>
      <c r="U350" s="917"/>
      <c r="V350" s="917"/>
      <c r="W350" s="918"/>
      <c r="X350" s="456"/>
      <c r="AH350" s="373"/>
    </row>
    <row r="351" spans="1:34" ht="15" customHeight="1">
      <c r="A351" s="799" t="s">
        <v>235</v>
      </c>
      <c r="B351" s="817" t="s">
        <v>512</v>
      </c>
      <c r="C351" s="826"/>
      <c r="D351" s="826"/>
      <c r="E351" s="827"/>
      <c r="F351" s="981" t="s">
        <v>297</v>
      </c>
      <c r="G351" s="981"/>
      <c r="H351" s="981"/>
      <c r="I351" s="981" t="s">
        <v>417</v>
      </c>
      <c r="J351" s="981"/>
      <c r="K351" s="981"/>
      <c r="L351" s="981"/>
      <c r="M351" s="981"/>
      <c r="N351" s="981"/>
      <c r="O351" s="981"/>
      <c r="P351" s="802" t="s">
        <v>439</v>
      </c>
      <c r="Q351" s="803"/>
      <c r="R351" s="803"/>
      <c r="S351" s="803"/>
      <c r="T351" s="803"/>
      <c r="U351" s="803"/>
      <c r="V351" s="803"/>
      <c r="W351" s="804"/>
      <c r="X351" s="456"/>
      <c r="Y351" s="12"/>
      <c r="AH351" s="373"/>
    </row>
    <row r="352" spans="1:34" ht="15" customHeight="1">
      <c r="A352" s="800"/>
      <c r="B352" s="828"/>
      <c r="C352" s="829"/>
      <c r="D352" s="829"/>
      <c r="E352" s="830"/>
      <c r="F352" s="981"/>
      <c r="G352" s="981"/>
      <c r="H352" s="981"/>
      <c r="I352" s="981"/>
      <c r="J352" s="981"/>
      <c r="K352" s="981"/>
      <c r="L352" s="981"/>
      <c r="M352" s="981"/>
      <c r="N352" s="981"/>
      <c r="O352" s="981"/>
      <c r="P352" s="805"/>
      <c r="Q352" s="806"/>
      <c r="R352" s="806"/>
      <c r="S352" s="806"/>
      <c r="T352" s="806"/>
      <c r="U352" s="806"/>
      <c r="V352" s="806"/>
      <c r="W352" s="807"/>
      <c r="X352" s="456"/>
      <c r="Y352" s="12"/>
      <c r="AH352" s="373"/>
    </row>
    <row r="353" spans="1:34" ht="15" customHeight="1">
      <c r="A353" s="800"/>
      <c r="B353" s="828"/>
      <c r="C353" s="829"/>
      <c r="D353" s="829"/>
      <c r="E353" s="830"/>
      <c r="F353" s="981"/>
      <c r="G353" s="981"/>
      <c r="H353" s="981"/>
      <c r="I353" s="981"/>
      <c r="J353" s="981"/>
      <c r="K353" s="981"/>
      <c r="L353" s="981"/>
      <c r="M353" s="981"/>
      <c r="N353" s="981"/>
      <c r="O353" s="981"/>
      <c r="P353" s="805"/>
      <c r="Q353" s="806"/>
      <c r="R353" s="806"/>
      <c r="S353" s="806"/>
      <c r="T353" s="806"/>
      <c r="U353" s="806"/>
      <c r="V353" s="806"/>
      <c r="W353" s="807"/>
      <c r="X353" s="456"/>
      <c r="Y353" s="12"/>
      <c r="AH353" s="373"/>
    </row>
    <row r="354" spans="1:34" ht="14.25" customHeight="1">
      <c r="A354" s="800"/>
      <c r="B354" s="828"/>
      <c r="C354" s="829"/>
      <c r="D354" s="829"/>
      <c r="E354" s="830"/>
      <c r="F354" s="981"/>
      <c r="G354" s="981"/>
      <c r="H354" s="981"/>
      <c r="I354" s="981"/>
      <c r="J354" s="981"/>
      <c r="K354" s="981"/>
      <c r="L354" s="981"/>
      <c r="M354" s="981"/>
      <c r="N354" s="981"/>
      <c r="O354" s="981"/>
      <c r="P354" s="808"/>
      <c r="Q354" s="809"/>
      <c r="R354" s="809"/>
      <c r="S354" s="809"/>
      <c r="T354" s="809"/>
      <c r="U354" s="809"/>
      <c r="V354" s="809"/>
      <c r="W354" s="810"/>
      <c r="X354" s="456"/>
      <c r="Y354" s="12"/>
      <c r="AH354" s="373"/>
    </row>
    <row r="355" spans="1:34" ht="12.75" customHeight="1">
      <c r="A355" s="800"/>
      <c r="B355" s="791" t="str">
        <f>B333</f>
        <v>(далее – Прил. № 4)</v>
      </c>
      <c r="C355" s="792"/>
      <c r="D355" s="792"/>
      <c r="E355" s="793"/>
      <c r="F355" s="869">
        <f>IF(Y356=0,IF(FIO="","",0),"")</f>
      </c>
      <c r="G355" s="818"/>
      <c r="H355" s="819"/>
      <c r="I355" s="798"/>
      <c r="J355" s="798"/>
      <c r="K355" s="798"/>
      <c r="L355" s="798"/>
      <c r="M355" s="798"/>
      <c r="N355" s="798"/>
      <c r="O355" s="798"/>
      <c r="P355" s="956"/>
      <c r="Q355" s="957"/>
      <c r="R355" s="957"/>
      <c r="S355" s="957"/>
      <c r="T355" s="957"/>
      <c r="U355" s="957"/>
      <c r="V355" s="957"/>
      <c r="W355" s="958"/>
      <c r="X355" s="456"/>
      <c r="Z355" s="251" t="s">
        <v>209</v>
      </c>
      <c r="AA355" s="252" t="s">
        <v>277</v>
      </c>
      <c r="AE355" s="288" t="s">
        <v>3</v>
      </c>
      <c r="AF355" s="289" t="s">
        <v>2</v>
      </c>
      <c r="AH355" s="373"/>
    </row>
    <row r="356" spans="1:34" ht="12.75" customHeight="1">
      <c r="A356" s="801"/>
      <c r="B356" s="794"/>
      <c r="C356" s="795"/>
      <c r="D356" s="795"/>
      <c r="E356" s="796"/>
      <c r="F356" s="823"/>
      <c r="G356" s="824"/>
      <c r="H356" s="825"/>
      <c r="I356" s="798"/>
      <c r="J356" s="798"/>
      <c r="K356" s="798"/>
      <c r="L356" s="798"/>
      <c r="M356" s="798"/>
      <c r="N356" s="798"/>
      <c r="O356" s="798"/>
      <c r="P356" s="959"/>
      <c r="Q356" s="960"/>
      <c r="R356" s="960"/>
      <c r="S356" s="960"/>
      <c r="T356" s="960"/>
      <c r="U356" s="960"/>
      <c r="V356" s="960"/>
      <c r="W356" s="961"/>
      <c r="X356" s="456"/>
      <c r="Y356" s="267">
        <f>SUM(I355:W356)</f>
        <v>0</v>
      </c>
      <c r="Z356" s="253">
        <v>30</v>
      </c>
      <c r="AA356" s="270">
        <f>IF(z_kateg="высшая",AE356,AF356)</f>
        <v>20</v>
      </c>
      <c r="AE356" s="286">
        <v>20</v>
      </c>
      <c r="AF356" s="287">
        <v>20</v>
      </c>
      <c r="AH356" s="373"/>
    </row>
    <row r="357" spans="1:34" ht="14.25">
      <c r="A357" s="766" t="s">
        <v>204</v>
      </c>
      <c r="B357" s="769" t="s">
        <v>205</v>
      </c>
      <c r="C357" s="770"/>
      <c r="D357" s="770"/>
      <c r="E357" s="846"/>
      <c r="F357" s="775" t="s">
        <v>216</v>
      </c>
      <c r="G357" s="776"/>
      <c r="H357" s="776"/>
      <c r="I357" s="776"/>
      <c r="J357" s="776"/>
      <c r="K357" s="776"/>
      <c r="L357" s="776"/>
      <c r="M357" s="776"/>
      <c r="N357" s="776"/>
      <c r="O357" s="776"/>
      <c r="P357" s="776"/>
      <c r="Q357" s="776"/>
      <c r="R357" s="776"/>
      <c r="S357" s="776"/>
      <c r="T357" s="776"/>
      <c r="U357" s="776"/>
      <c r="V357" s="776"/>
      <c r="W357" s="777"/>
      <c r="X357" s="456"/>
      <c r="Z357" s="207"/>
      <c r="AA357" s="207"/>
      <c r="AH357" s="373"/>
    </row>
    <row r="358" spans="1:34" ht="14.25" customHeight="1">
      <c r="A358" s="767"/>
      <c r="B358" s="771"/>
      <c r="C358" s="772"/>
      <c r="D358" s="772"/>
      <c r="E358" s="847"/>
      <c r="F358" s="778" t="s">
        <v>211</v>
      </c>
      <c r="G358" s="779"/>
      <c r="H358" s="779"/>
      <c r="I358" s="779"/>
      <c r="J358" s="779"/>
      <c r="K358" s="779"/>
      <c r="L358" s="779"/>
      <c r="M358" s="779"/>
      <c r="N358" s="779"/>
      <c r="O358" s="779"/>
      <c r="P358" s="779"/>
      <c r="Q358" s="779"/>
      <c r="R358" s="779"/>
      <c r="S358" s="779"/>
      <c r="T358" s="779"/>
      <c r="U358" s="779"/>
      <c r="V358" s="779"/>
      <c r="W358" s="780"/>
      <c r="X358" s="456"/>
      <c r="AH358" s="373"/>
    </row>
    <row r="359" spans="1:34" ht="14.25" customHeight="1">
      <c r="A359" s="768"/>
      <c r="B359" s="773"/>
      <c r="C359" s="774"/>
      <c r="D359" s="774"/>
      <c r="E359" s="848"/>
      <c r="F359" s="781">
        <v>0</v>
      </c>
      <c r="G359" s="781"/>
      <c r="H359" s="781"/>
      <c r="I359" s="916">
        <v>10</v>
      </c>
      <c r="J359" s="917"/>
      <c r="K359" s="918"/>
      <c r="L359" s="916">
        <v>10</v>
      </c>
      <c r="M359" s="917"/>
      <c r="N359" s="917"/>
      <c r="O359" s="918"/>
      <c r="P359" s="916">
        <v>20</v>
      </c>
      <c r="Q359" s="917"/>
      <c r="R359" s="917"/>
      <c r="S359" s="918"/>
      <c r="T359" s="916">
        <v>20</v>
      </c>
      <c r="U359" s="917"/>
      <c r="V359" s="917"/>
      <c r="W359" s="918"/>
      <c r="X359" s="456"/>
      <c r="AH359" s="373"/>
    </row>
    <row r="360" spans="1:34" ht="15" customHeight="1">
      <c r="A360" s="849" t="s">
        <v>236</v>
      </c>
      <c r="B360" s="817" t="s">
        <v>513</v>
      </c>
      <c r="C360" s="826"/>
      <c r="D360" s="826"/>
      <c r="E360" s="827"/>
      <c r="F360" s="981" t="s">
        <v>283</v>
      </c>
      <c r="G360" s="981"/>
      <c r="H360" s="981"/>
      <c r="I360" s="802" t="s">
        <v>419</v>
      </c>
      <c r="J360" s="803"/>
      <c r="K360" s="804"/>
      <c r="L360" s="802" t="s">
        <v>673</v>
      </c>
      <c r="M360" s="803"/>
      <c r="N360" s="803"/>
      <c r="O360" s="804"/>
      <c r="P360" s="802" t="s">
        <v>408</v>
      </c>
      <c r="Q360" s="803"/>
      <c r="R360" s="803"/>
      <c r="S360" s="804"/>
      <c r="T360" s="802" t="s">
        <v>407</v>
      </c>
      <c r="U360" s="803"/>
      <c r="V360" s="803"/>
      <c r="W360" s="804"/>
      <c r="X360" s="456"/>
      <c r="AH360" s="373"/>
    </row>
    <row r="361" spans="1:34" ht="15" customHeight="1">
      <c r="A361" s="850"/>
      <c r="B361" s="828"/>
      <c r="C361" s="829"/>
      <c r="D361" s="829"/>
      <c r="E361" s="830"/>
      <c r="F361" s="981"/>
      <c r="G361" s="981"/>
      <c r="H361" s="981"/>
      <c r="I361" s="805"/>
      <c r="J361" s="806"/>
      <c r="K361" s="807"/>
      <c r="L361" s="805"/>
      <c r="M361" s="806"/>
      <c r="N361" s="806"/>
      <c r="O361" s="807"/>
      <c r="P361" s="805"/>
      <c r="Q361" s="806"/>
      <c r="R361" s="806"/>
      <c r="S361" s="807"/>
      <c r="T361" s="805"/>
      <c r="U361" s="806"/>
      <c r="V361" s="806"/>
      <c r="W361" s="807"/>
      <c r="X361" s="456"/>
      <c r="AB361" s="274"/>
      <c r="AC361" s="274"/>
      <c r="AD361" s="274"/>
      <c r="AH361" s="373"/>
    </row>
    <row r="362" spans="1:34" ht="15" customHeight="1">
      <c r="A362" s="850"/>
      <c r="B362" s="828"/>
      <c r="C362" s="829"/>
      <c r="D362" s="829"/>
      <c r="E362" s="830"/>
      <c r="F362" s="981"/>
      <c r="G362" s="981"/>
      <c r="H362" s="981"/>
      <c r="I362" s="808"/>
      <c r="J362" s="809"/>
      <c r="K362" s="810"/>
      <c r="L362" s="805"/>
      <c r="M362" s="806"/>
      <c r="N362" s="806"/>
      <c r="O362" s="807"/>
      <c r="P362" s="805"/>
      <c r="Q362" s="806"/>
      <c r="R362" s="806"/>
      <c r="S362" s="807"/>
      <c r="T362" s="805"/>
      <c r="U362" s="806"/>
      <c r="V362" s="806"/>
      <c r="W362" s="807"/>
      <c r="X362" s="456"/>
      <c r="Z362" s="275"/>
      <c r="AH362" s="373"/>
    </row>
    <row r="363" spans="1:34" ht="14.25" customHeight="1">
      <c r="A363" s="850"/>
      <c r="B363" s="828"/>
      <c r="C363" s="829"/>
      <c r="D363" s="829"/>
      <c r="E363" s="830"/>
      <c r="F363" s="869">
        <f>IF(Y364=0,IF(FIO="","",0),"")</f>
      </c>
      <c r="G363" s="818"/>
      <c r="H363" s="819"/>
      <c r="I363" s="956"/>
      <c r="J363" s="957"/>
      <c r="K363" s="958"/>
      <c r="L363" s="798"/>
      <c r="M363" s="798"/>
      <c r="N363" s="798"/>
      <c r="O363" s="798"/>
      <c r="P363" s="798"/>
      <c r="Q363" s="798"/>
      <c r="R363" s="798"/>
      <c r="S363" s="798"/>
      <c r="T363" s="798"/>
      <c r="U363" s="798"/>
      <c r="V363" s="798"/>
      <c r="W363" s="798"/>
      <c r="X363" s="456"/>
      <c r="Z363" s="251" t="s">
        <v>209</v>
      </c>
      <c r="AA363" s="252" t="s">
        <v>277</v>
      </c>
      <c r="AE363" s="288" t="s">
        <v>3</v>
      </c>
      <c r="AF363" s="289" t="s">
        <v>2</v>
      </c>
      <c r="AH363" s="373"/>
    </row>
    <row r="364" spans="1:34" ht="12.75" customHeight="1">
      <c r="A364" s="851"/>
      <c r="B364" s="794" t="str">
        <f>B333</f>
        <v>(далее – Прил. № 4)</v>
      </c>
      <c r="C364" s="795"/>
      <c r="D364" s="795"/>
      <c r="E364" s="796"/>
      <c r="F364" s="823"/>
      <c r="G364" s="824"/>
      <c r="H364" s="825"/>
      <c r="I364" s="959"/>
      <c r="J364" s="960"/>
      <c r="K364" s="961"/>
      <c r="L364" s="798"/>
      <c r="M364" s="798"/>
      <c r="N364" s="798"/>
      <c r="O364" s="798"/>
      <c r="P364" s="798"/>
      <c r="Q364" s="798"/>
      <c r="R364" s="798"/>
      <c r="S364" s="798"/>
      <c r="T364" s="798"/>
      <c r="U364" s="798"/>
      <c r="V364" s="798"/>
      <c r="W364" s="798"/>
      <c r="X364" s="456"/>
      <c r="Y364" s="267">
        <f>SUM(I363:W364)</f>
        <v>0</v>
      </c>
      <c r="Z364" s="253">
        <v>60</v>
      </c>
      <c r="AA364" s="270">
        <f>IF(z_kateg="высшая",AE364,AF364)</f>
        <v>0</v>
      </c>
      <c r="AE364" s="286">
        <v>0</v>
      </c>
      <c r="AF364" s="287">
        <v>0</v>
      </c>
      <c r="AH364" s="373"/>
    </row>
    <row r="365" spans="1:34" ht="14.25">
      <c r="A365" s="766" t="s">
        <v>204</v>
      </c>
      <c r="B365" s="769" t="s">
        <v>205</v>
      </c>
      <c r="C365" s="770"/>
      <c r="D365" s="770"/>
      <c r="E365" s="770"/>
      <c r="F365" s="770"/>
      <c r="G365" s="770"/>
      <c r="H365" s="846"/>
      <c r="I365" s="775" t="s">
        <v>206</v>
      </c>
      <c r="J365" s="776"/>
      <c r="K365" s="776"/>
      <c r="L365" s="776"/>
      <c r="M365" s="776"/>
      <c r="N365" s="776"/>
      <c r="O365" s="776"/>
      <c r="P365" s="776"/>
      <c r="Q365" s="776"/>
      <c r="R365" s="776"/>
      <c r="S365" s="776"/>
      <c r="T365" s="776"/>
      <c r="U365" s="776"/>
      <c r="V365" s="776"/>
      <c r="W365" s="777"/>
      <c r="X365" s="456"/>
      <c r="Y365" s="12"/>
      <c r="AA365" s="12"/>
      <c r="AC365" s="12"/>
      <c r="AE365" s="12"/>
      <c r="AH365" s="373"/>
    </row>
    <row r="366" spans="1:34" ht="14.25" customHeight="1">
      <c r="A366" s="767"/>
      <c r="B366" s="771"/>
      <c r="C366" s="772"/>
      <c r="D366" s="772"/>
      <c r="E366" s="772"/>
      <c r="F366" s="772"/>
      <c r="G366" s="772"/>
      <c r="H366" s="847"/>
      <c r="I366" s="778" t="s">
        <v>211</v>
      </c>
      <c r="J366" s="779"/>
      <c r="K366" s="779"/>
      <c r="L366" s="779"/>
      <c r="M366" s="779"/>
      <c r="N366" s="779"/>
      <c r="O366" s="779"/>
      <c r="P366" s="779"/>
      <c r="Q366" s="779"/>
      <c r="R366" s="779"/>
      <c r="S366" s="779"/>
      <c r="T366" s="779"/>
      <c r="U366" s="779"/>
      <c r="V366" s="779"/>
      <c r="W366" s="780"/>
      <c r="X366" s="456"/>
      <c r="Y366" s="12"/>
      <c r="Z366" s="12"/>
      <c r="AA366" s="12"/>
      <c r="AB366" s="12"/>
      <c r="AC366" s="12"/>
      <c r="AD366" s="12"/>
      <c r="AE366" s="12"/>
      <c r="AH366" s="373"/>
    </row>
    <row r="367" spans="1:34" ht="14.25" customHeight="1">
      <c r="A367" s="768"/>
      <c r="B367" s="771"/>
      <c r="C367" s="772"/>
      <c r="D367" s="772"/>
      <c r="E367" s="772"/>
      <c r="F367" s="772"/>
      <c r="G367" s="772"/>
      <c r="H367" s="847"/>
      <c r="I367" s="916">
        <v>0</v>
      </c>
      <c r="J367" s="917"/>
      <c r="K367" s="918"/>
      <c r="L367" s="916" t="s">
        <v>264</v>
      </c>
      <c r="M367" s="917"/>
      <c r="N367" s="917"/>
      <c r="O367" s="918"/>
      <c r="P367" s="916" t="s">
        <v>266</v>
      </c>
      <c r="Q367" s="917"/>
      <c r="R367" s="917"/>
      <c r="S367" s="918"/>
      <c r="T367" s="916" t="s">
        <v>267</v>
      </c>
      <c r="U367" s="917"/>
      <c r="V367" s="917"/>
      <c r="W367" s="918"/>
      <c r="X367" s="456"/>
      <c r="Y367" s="12"/>
      <c r="Z367" s="12"/>
      <c r="AA367" s="12"/>
      <c r="AB367" s="12"/>
      <c r="AC367" s="12"/>
      <c r="AD367" s="12"/>
      <c r="AE367" s="12"/>
      <c r="AH367" s="373"/>
    </row>
    <row r="368" spans="1:34" ht="12.75">
      <c r="A368" s="849" t="s">
        <v>237</v>
      </c>
      <c r="B368" s="817" t="s">
        <v>717</v>
      </c>
      <c r="C368" s="826"/>
      <c r="D368" s="826"/>
      <c r="E368" s="826"/>
      <c r="F368" s="826"/>
      <c r="G368" s="826"/>
      <c r="H368" s="827"/>
      <c r="I368" s="802" t="s">
        <v>212</v>
      </c>
      <c r="J368" s="803"/>
      <c r="K368" s="804"/>
      <c r="L368" s="802" t="s">
        <v>673</v>
      </c>
      <c r="M368" s="803"/>
      <c r="N368" s="803"/>
      <c r="O368" s="804"/>
      <c r="P368" s="802" t="s">
        <v>408</v>
      </c>
      <c r="Q368" s="803"/>
      <c r="R368" s="803"/>
      <c r="S368" s="804"/>
      <c r="T368" s="802" t="s">
        <v>418</v>
      </c>
      <c r="U368" s="803"/>
      <c r="V368" s="803"/>
      <c r="W368" s="804"/>
      <c r="X368" s="456"/>
      <c r="Y368" s="12"/>
      <c r="AA368" s="12"/>
      <c r="AB368" s="12"/>
      <c r="AC368" s="12"/>
      <c r="AH368" s="373"/>
    </row>
    <row r="369" spans="1:34" ht="12.75">
      <c r="A369" s="850"/>
      <c r="B369" s="828"/>
      <c r="C369" s="829"/>
      <c r="D369" s="829"/>
      <c r="E369" s="829"/>
      <c r="F369" s="829"/>
      <c r="G369" s="829"/>
      <c r="H369" s="830"/>
      <c r="I369" s="805"/>
      <c r="J369" s="806"/>
      <c r="K369" s="807"/>
      <c r="L369" s="805"/>
      <c r="M369" s="806"/>
      <c r="N369" s="806"/>
      <c r="O369" s="807"/>
      <c r="P369" s="805"/>
      <c r="Q369" s="806"/>
      <c r="R369" s="806"/>
      <c r="S369" s="807"/>
      <c r="T369" s="805"/>
      <c r="U369" s="806"/>
      <c r="V369" s="806"/>
      <c r="W369" s="807"/>
      <c r="X369" s="456"/>
      <c r="Y369" s="12"/>
      <c r="AA369" s="12"/>
      <c r="AB369" s="12"/>
      <c r="AC369" s="12"/>
      <c r="AH369" s="373"/>
    </row>
    <row r="370" spans="1:34" ht="12.75">
      <c r="A370" s="850"/>
      <c r="B370" s="828"/>
      <c r="C370" s="829"/>
      <c r="D370" s="829"/>
      <c r="E370" s="829"/>
      <c r="F370" s="829"/>
      <c r="G370" s="829"/>
      <c r="H370" s="830"/>
      <c r="I370" s="805"/>
      <c r="J370" s="806"/>
      <c r="K370" s="807"/>
      <c r="L370" s="805"/>
      <c r="M370" s="806"/>
      <c r="N370" s="806"/>
      <c r="O370" s="807"/>
      <c r="P370" s="805"/>
      <c r="Q370" s="806"/>
      <c r="R370" s="806"/>
      <c r="S370" s="807"/>
      <c r="T370" s="805"/>
      <c r="U370" s="806"/>
      <c r="V370" s="806"/>
      <c r="W370" s="807"/>
      <c r="X370" s="456"/>
      <c r="Y370" s="12"/>
      <c r="AA370" s="12"/>
      <c r="AB370" s="12"/>
      <c r="AC370" s="12"/>
      <c r="AH370" s="373"/>
    </row>
    <row r="371" spans="1:34" ht="12.75" customHeight="1">
      <c r="A371" s="850"/>
      <c r="B371" s="828"/>
      <c r="C371" s="829"/>
      <c r="D371" s="829"/>
      <c r="E371" s="829"/>
      <c r="F371" s="829"/>
      <c r="G371" s="829"/>
      <c r="H371" s="830"/>
      <c r="I371" s="782"/>
      <c r="J371" s="783"/>
      <c r="K371" s="784"/>
      <c r="L371" s="989" t="s">
        <v>308</v>
      </c>
      <c r="M371" s="990"/>
      <c r="N371" s="990"/>
      <c r="O371" s="991"/>
      <c r="P371" s="989" t="s">
        <v>718</v>
      </c>
      <c r="Q371" s="990"/>
      <c r="R371" s="990"/>
      <c r="S371" s="991"/>
      <c r="T371" s="989" t="s">
        <v>434</v>
      </c>
      <c r="U371" s="990"/>
      <c r="V371" s="990"/>
      <c r="W371" s="991"/>
      <c r="X371" s="456"/>
      <c r="Y371" s="12"/>
      <c r="AH371" s="373"/>
    </row>
    <row r="372" spans="1:34" ht="12.75">
      <c r="A372" s="850"/>
      <c r="B372" s="828"/>
      <c r="C372" s="829"/>
      <c r="D372" s="829"/>
      <c r="E372" s="829"/>
      <c r="F372" s="829"/>
      <c r="G372" s="829"/>
      <c r="H372" s="830"/>
      <c r="I372" s="782"/>
      <c r="J372" s="783"/>
      <c r="K372" s="784"/>
      <c r="L372" s="989"/>
      <c r="M372" s="990"/>
      <c r="N372" s="990"/>
      <c r="O372" s="991"/>
      <c r="P372" s="989"/>
      <c r="Q372" s="990"/>
      <c r="R372" s="990"/>
      <c r="S372" s="991"/>
      <c r="T372" s="989"/>
      <c r="U372" s="990"/>
      <c r="V372" s="990"/>
      <c r="W372" s="991"/>
      <c r="X372" s="456"/>
      <c r="Y372" s="12"/>
      <c r="AH372" s="373"/>
    </row>
    <row r="373" spans="1:34" ht="12.75">
      <c r="A373" s="850"/>
      <c r="B373" s="828"/>
      <c r="C373" s="829"/>
      <c r="D373" s="829"/>
      <c r="E373" s="829"/>
      <c r="F373" s="829"/>
      <c r="G373" s="829"/>
      <c r="H373" s="830"/>
      <c r="I373" s="788"/>
      <c r="J373" s="789"/>
      <c r="K373" s="790"/>
      <c r="L373" s="788" t="s">
        <v>290</v>
      </c>
      <c r="M373" s="789"/>
      <c r="N373" s="789"/>
      <c r="O373" s="789"/>
      <c r="P373" s="788" t="s">
        <v>299</v>
      </c>
      <c r="Q373" s="789"/>
      <c r="R373" s="789"/>
      <c r="S373" s="790"/>
      <c r="T373" s="788" t="s">
        <v>281</v>
      </c>
      <c r="U373" s="789"/>
      <c r="V373" s="789"/>
      <c r="W373" s="790"/>
      <c r="X373" s="456"/>
      <c r="Y373" s="12"/>
      <c r="AH373" s="373"/>
    </row>
    <row r="374" spans="1:34" ht="12.75" customHeight="1">
      <c r="A374" s="850"/>
      <c r="B374" s="791" t="str">
        <f>B333</f>
        <v>(далее – Прил. № 4)</v>
      </c>
      <c r="C374" s="792"/>
      <c r="D374" s="792"/>
      <c r="E374" s="792"/>
      <c r="F374" s="792"/>
      <c r="G374" s="792"/>
      <c r="H374" s="793"/>
      <c r="I374" s="869">
        <f>IF(Y375=0,IF(FIO="","",0),"")</f>
      </c>
      <c r="J374" s="870"/>
      <c r="K374" s="871"/>
      <c r="L374" s="798"/>
      <c r="M374" s="798"/>
      <c r="N374" s="798"/>
      <c r="O374" s="798"/>
      <c r="P374" s="798"/>
      <c r="Q374" s="798"/>
      <c r="R374" s="798"/>
      <c r="S374" s="798"/>
      <c r="T374" s="798"/>
      <c r="U374" s="798"/>
      <c r="V374" s="798"/>
      <c r="W374" s="798"/>
      <c r="X374" s="456"/>
      <c r="Z374" s="251" t="s">
        <v>209</v>
      </c>
      <c r="AA374" s="252" t="s">
        <v>277</v>
      </c>
      <c r="AE374" s="288" t="s">
        <v>3</v>
      </c>
      <c r="AF374" s="289" t="s">
        <v>2</v>
      </c>
      <c r="AH374" s="373"/>
    </row>
    <row r="375" spans="1:34" ht="12.75" customHeight="1">
      <c r="A375" s="851"/>
      <c r="B375" s="794"/>
      <c r="C375" s="795"/>
      <c r="D375" s="795"/>
      <c r="E375" s="795"/>
      <c r="F375" s="795"/>
      <c r="G375" s="795"/>
      <c r="H375" s="796"/>
      <c r="I375" s="875"/>
      <c r="J375" s="876"/>
      <c r="K375" s="877"/>
      <c r="L375" s="798"/>
      <c r="M375" s="798"/>
      <c r="N375" s="798"/>
      <c r="O375" s="798"/>
      <c r="P375" s="798"/>
      <c r="Q375" s="798"/>
      <c r="R375" s="798"/>
      <c r="S375" s="798"/>
      <c r="T375" s="798"/>
      <c r="U375" s="798"/>
      <c r="V375" s="798"/>
      <c r="W375" s="798"/>
      <c r="X375" s="456"/>
      <c r="Y375" s="267">
        <f>SUM(L374:W375)</f>
        <v>0</v>
      </c>
      <c r="Z375" s="253">
        <v>110</v>
      </c>
      <c r="AA375" s="270">
        <f>IF(z_kateg="высшая",AE375,AF375)</f>
        <v>10</v>
      </c>
      <c r="AE375" s="286">
        <v>20</v>
      </c>
      <c r="AF375" s="287">
        <v>10</v>
      </c>
      <c r="AH375" s="373"/>
    </row>
    <row r="376" spans="1:34" ht="14.25">
      <c r="A376" s="766" t="s">
        <v>204</v>
      </c>
      <c r="B376" s="769" t="s">
        <v>205</v>
      </c>
      <c r="C376" s="770"/>
      <c r="D376" s="770"/>
      <c r="E376" s="770"/>
      <c r="F376" s="775" t="s">
        <v>206</v>
      </c>
      <c r="G376" s="776"/>
      <c r="H376" s="776"/>
      <c r="I376" s="776"/>
      <c r="J376" s="776"/>
      <c r="K376" s="776"/>
      <c r="L376" s="776"/>
      <c r="M376" s="776"/>
      <c r="N376" s="776"/>
      <c r="O376" s="776"/>
      <c r="P376" s="776"/>
      <c r="Q376" s="776"/>
      <c r="R376" s="776"/>
      <c r="S376" s="776"/>
      <c r="T376" s="776"/>
      <c r="U376" s="776"/>
      <c r="V376" s="776"/>
      <c r="W376" s="777"/>
      <c r="X376" s="456"/>
      <c r="Y376" s="12"/>
      <c r="AA376" s="12"/>
      <c r="AC376" s="12"/>
      <c r="AE376" s="12"/>
      <c r="AH376" s="373"/>
    </row>
    <row r="377" spans="1:34" ht="12.75">
      <c r="A377" s="767"/>
      <c r="B377" s="771"/>
      <c r="C377" s="772"/>
      <c r="D377" s="772"/>
      <c r="E377" s="772"/>
      <c r="F377" s="778" t="s">
        <v>211</v>
      </c>
      <c r="G377" s="779"/>
      <c r="H377" s="779"/>
      <c r="I377" s="779"/>
      <c r="J377" s="779"/>
      <c r="K377" s="779"/>
      <c r="L377" s="779"/>
      <c r="M377" s="779"/>
      <c r="N377" s="779"/>
      <c r="O377" s="779"/>
      <c r="P377" s="779"/>
      <c r="Q377" s="779"/>
      <c r="R377" s="779"/>
      <c r="S377" s="779"/>
      <c r="T377" s="779"/>
      <c r="U377" s="779"/>
      <c r="V377" s="779"/>
      <c r="W377" s="780"/>
      <c r="X377" s="456"/>
      <c r="Y377" s="12"/>
      <c r="Z377" s="12"/>
      <c r="AA377" s="12"/>
      <c r="AB377" s="12"/>
      <c r="AC377" s="12"/>
      <c r="AD377" s="12"/>
      <c r="AE377" s="12"/>
      <c r="AH377" s="373"/>
    </row>
    <row r="378" spans="1:34" ht="12.75">
      <c r="A378" s="768"/>
      <c r="B378" s="771"/>
      <c r="C378" s="772"/>
      <c r="D378" s="772"/>
      <c r="E378" s="772"/>
      <c r="F378" s="916">
        <v>0</v>
      </c>
      <c r="G378" s="918"/>
      <c r="H378" s="923" t="s">
        <v>264</v>
      </c>
      <c r="I378" s="924"/>
      <c r="J378" s="924"/>
      <c r="K378" s="925"/>
      <c r="L378" s="923" t="s">
        <v>266</v>
      </c>
      <c r="M378" s="924"/>
      <c r="N378" s="924"/>
      <c r="O378" s="925"/>
      <c r="P378" s="923" t="s">
        <v>267</v>
      </c>
      <c r="Q378" s="924"/>
      <c r="R378" s="924"/>
      <c r="S378" s="925"/>
      <c r="T378" s="923" t="s">
        <v>420</v>
      </c>
      <c r="U378" s="924"/>
      <c r="V378" s="924"/>
      <c r="W378" s="925"/>
      <c r="X378" s="456"/>
      <c r="Y378" s="12"/>
      <c r="Z378" s="12"/>
      <c r="AA378" s="12"/>
      <c r="AB378" s="12"/>
      <c r="AC378" s="12"/>
      <c r="AD378" s="12"/>
      <c r="AE378" s="12"/>
      <c r="AH378" s="373"/>
    </row>
    <row r="379" spans="1:34" ht="12.75" customHeight="1">
      <c r="A379" s="849" t="s">
        <v>720</v>
      </c>
      <c r="B379" s="817" t="s">
        <v>724</v>
      </c>
      <c r="C379" s="826"/>
      <c r="D379" s="826"/>
      <c r="E379" s="827"/>
      <c r="F379" s="802" t="s">
        <v>283</v>
      </c>
      <c r="G379" s="804"/>
      <c r="H379" s="802" t="s">
        <v>721</v>
      </c>
      <c r="I379" s="803"/>
      <c r="J379" s="803"/>
      <c r="K379" s="804"/>
      <c r="L379" s="802" t="s">
        <v>722</v>
      </c>
      <c r="M379" s="803"/>
      <c r="N379" s="803"/>
      <c r="O379" s="804"/>
      <c r="P379" s="802" t="s">
        <v>408</v>
      </c>
      <c r="Q379" s="803"/>
      <c r="R379" s="803"/>
      <c r="S379" s="804"/>
      <c r="T379" s="802" t="s">
        <v>407</v>
      </c>
      <c r="U379" s="803"/>
      <c r="V379" s="803"/>
      <c r="W379" s="804"/>
      <c r="X379" s="456"/>
      <c r="Y379" s="12"/>
      <c r="AA379" s="12"/>
      <c r="AB379" s="12"/>
      <c r="AC379" s="12"/>
      <c r="AH379" s="373"/>
    </row>
    <row r="380" spans="1:34" ht="15.75" customHeight="1">
      <c r="A380" s="850"/>
      <c r="B380" s="828"/>
      <c r="C380" s="829"/>
      <c r="D380" s="829"/>
      <c r="E380" s="830"/>
      <c r="F380" s="805"/>
      <c r="G380" s="807"/>
      <c r="H380" s="805"/>
      <c r="I380" s="806"/>
      <c r="J380" s="806"/>
      <c r="K380" s="807"/>
      <c r="L380" s="805"/>
      <c r="M380" s="806"/>
      <c r="N380" s="806"/>
      <c r="O380" s="807"/>
      <c r="P380" s="805"/>
      <c r="Q380" s="806"/>
      <c r="R380" s="806"/>
      <c r="S380" s="807"/>
      <c r="T380" s="805"/>
      <c r="U380" s="806"/>
      <c r="V380" s="806"/>
      <c r="W380" s="807"/>
      <c r="X380" s="456"/>
      <c r="Y380" s="12"/>
      <c r="AA380" s="12"/>
      <c r="AB380" s="12"/>
      <c r="AC380" s="12"/>
      <c r="AH380" s="373"/>
    </row>
    <row r="381" spans="1:34" ht="12.75">
      <c r="A381" s="850"/>
      <c r="B381" s="828"/>
      <c r="C381" s="829"/>
      <c r="D381" s="829"/>
      <c r="E381" s="830"/>
      <c r="F381" s="805"/>
      <c r="G381" s="807"/>
      <c r="H381" s="805"/>
      <c r="I381" s="806"/>
      <c r="J381" s="806"/>
      <c r="K381" s="807"/>
      <c r="L381" s="805"/>
      <c r="M381" s="806"/>
      <c r="N381" s="806"/>
      <c r="O381" s="807"/>
      <c r="P381" s="805"/>
      <c r="Q381" s="806"/>
      <c r="R381" s="806"/>
      <c r="S381" s="807"/>
      <c r="T381" s="805"/>
      <c r="U381" s="806"/>
      <c r="V381" s="806"/>
      <c r="W381" s="807"/>
      <c r="X381" s="456"/>
      <c r="Y381" s="12"/>
      <c r="AA381" s="12"/>
      <c r="AB381" s="12"/>
      <c r="AC381" s="12"/>
      <c r="AH381" s="373"/>
    </row>
    <row r="382" spans="1:34" ht="12.75">
      <c r="A382" s="850"/>
      <c r="B382" s="828"/>
      <c r="C382" s="829"/>
      <c r="D382" s="829"/>
      <c r="E382" s="830"/>
      <c r="F382" s="1058"/>
      <c r="G382" s="1060"/>
      <c r="H382" s="782" t="s">
        <v>711</v>
      </c>
      <c r="I382" s="783"/>
      <c r="J382" s="783"/>
      <c r="K382" s="784"/>
      <c r="L382" s="782" t="s">
        <v>723</v>
      </c>
      <c r="M382" s="783"/>
      <c r="N382" s="783"/>
      <c r="O382" s="784"/>
      <c r="P382" s="782" t="s">
        <v>712</v>
      </c>
      <c r="Q382" s="783"/>
      <c r="R382" s="783"/>
      <c r="S382" s="784"/>
      <c r="T382" s="782" t="s">
        <v>713</v>
      </c>
      <c r="U382" s="783"/>
      <c r="V382" s="783"/>
      <c r="W382" s="784"/>
      <c r="X382" s="456"/>
      <c r="Y382" s="12"/>
      <c r="AH382" s="373"/>
    </row>
    <row r="383" spans="1:34" ht="12.75" customHeight="1">
      <c r="A383" s="850"/>
      <c r="B383" s="828"/>
      <c r="C383" s="829"/>
      <c r="D383" s="829"/>
      <c r="E383" s="830"/>
      <c r="F383" s="1061"/>
      <c r="G383" s="1063"/>
      <c r="H383" s="788" t="s">
        <v>290</v>
      </c>
      <c r="I383" s="789"/>
      <c r="J383" s="789"/>
      <c r="K383" s="790"/>
      <c r="L383" s="969" t="s">
        <v>292</v>
      </c>
      <c r="M383" s="970"/>
      <c r="N383" s="970"/>
      <c r="O383" s="971"/>
      <c r="P383" s="969" t="s">
        <v>714</v>
      </c>
      <c r="Q383" s="970"/>
      <c r="R383" s="970"/>
      <c r="S383" s="971"/>
      <c r="T383" s="969" t="s">
        <v>416</v>
      </c>
      <c r="U383" s="970"/>
      <c r="V383" s="970"/>
      <c r="W383" s="971"/>
      <c r="X383" s="456"/>
      <c r="Y383" s="12"/>
      <c r="AH383" s="373"/>
    </row>
    <row r="384" spans="1:34" ht="12.75" customHeight="1">
      <c r="A384" s="850"/>
      <c r="B384" s="791" t="str">
        <f>B333</f>
        <v>(далее – Прил. № 4)</v>
      </c>
      <c r="C384" s="792"/>
      <c r="D384" s="792"/>
      <c r="E384" s="793"/>
      <c r="F384" s="869">
        <f>IF(Y385=0,IF(FIO="","",0),"")</f>
      </c>
      <c r="G384" s="819"/>
      <c r="H384" s="956"/>
      <c r="I384" s="957"/>
      <c r="J384" s="957"/>
      <c r="K384" s="958"/>
      <c r="L384" s="956"/>
      <c r="M384" s="957"/>
      <c r="N384" s="957"/>
      <c r="O384" s="958"/>
      <c r="P384" s="956"/>
      <c r="Q384" s="957"/>
      <c r="R384" s="957"/>
      <c r="S384" s="958"/>
      <c r="T384" s="798"/>
      <c r="U384" s="798"/>
      <c r="V384" s="798"/>
      <c r="W384" s="798"/>
      <c r="X384" s="456"/>
      <c r="Z384" s="251" t="s">
        <v>209</v>
      </c>
      <c r="AA384" s="252" t="s">
        <v>277</v>
      </c>
      <c r="AE384" s="288" t="s">
        <v>3</v>
      </c>
      <c r="AF384" s="289" t="s">
        <v>2</v>
      </c>
      <c r="AH384" s="373"/>
    </row>
    <row r="385" spans="1:34" ht="12.75" customHeight="1">
      <c r="A385" s="851"/>
      <c r="B385" s="794"/>
      <c r="C385" s="795"/>
      <c r="D385" s="795"/>
      <c r="E385" s="796"/>
      <c r="F385" s="823"/>
      <c r="G385" s="825"/>
      <c r="H385" s="959"/>
      <c r="I385" s="960"/>
      <c r="J385" s="960"/>
      <c r="K385" s="961"/>
      <c r="L385" s="959"/>
      <c r="M385" s="960"/>
      <c r="N385" s="960"/>
      <c r="O385" s="961"/>
      <c r="P385" s="959"/>
      <c r="Q385" s="960"/>
      <c r="R385" s="960"/>
      <c r="S385" s="961"/>
      <c r="T385" s="798"/>
      <c r="U385" s="798"/>
      <c r="V385" s="798"/>
      <c r="W385" s="798"/>
      <c r="X385" s="456"/>
      <c r="Y385" s="267">
        <f>SUM(H384:W385)</f>
        <v>0</v>
      </c>
      <c r="Z385" s="253">
        <v>140</v>
      </c>
      <c r="AA385" s="270">
        <f>IF(z_kateg="высшая",AE385,AF385)</f>
        <v>10</v>
      </c>
      <c r="AE385" s="286">
        <v>20</v>
      </c>
      <c r="AF385" s="287">
        <v>10</v>
      </c>
      <c r="AH385" s="373"/>
    </row>
    <row r="386" spans="1:34" ht="14.25">
      <c r="A386" s="766" t="s">
        <v>204</v>
      </c>
      <c r="B386" s="769" t="s">
        <v>205</v>
      </c>
      <c r="C386" s="770"/>
      <c r="D386" s="770"/>
      <c r="E386" s="770"/>
      <c r="F386" s="770"/>
      <c r="G386" s="770"/>
      <c r="H386" s="770"/>
      <c r="I386" s="775" t="s">
        <v>206</v>
      </c>
      <c r="J386" s="776"/>
      <c r="K386" s="776"/>
      <c r="L386" s="776"/>
      <c r="M386" s="776"/>
      <c r="N386" s="776"/>
      <c r="O386" s="776"/>
      <c r="P386" s="776"/>
      <c r="Q386" s="776"/>
      <c r="R386" s="776"/>
      <c r="S386" s="776"/>
      <c r="T386" s="776"/>
      <c r="U386" s="776"/>
      <c r="V386" s="776"/>
      <c r="W386" s="777"/>
      <c r="X386" s="456"/>
      <c r="AA386" s="664"/>
      <c r="AE386" s="286"/>
      <c r="AF386" s="287"/>
      <c r="AH386" s="373"/>
    </row>
    <row r="387" spans="1:34" ht="14.25" customHeight="1">
      <c r="A387" s="767"/>
      <c r="B387" s="771"/>
      <c r="C387" s="772"/>
      <c r="D387" s="772"/>
      <c r="E387" s="772"/>
      <c r="F387" s="772"/>
      <c r="G387" s="772"/>
      <c r="H387" s="772"/>
      <c r="I387" s="778" t="s">
        <v>207</v>
      </c>
      <c r="J387" s="779"/>
      <c r="K387" s="779"/>
      <c r="L387" s="779"/>
      <c r="M387" s="779"/>
      <c r="N387" s="779"/>
      <c r="O387" s="779"/>
      <c r="P387" s="779"/>
      <c r="Q387" s="779"/>
      <c r="R387" s="779"/>
      <c r="S387" s="779"/>
      <c r="T387" s="779"/>
      <c r="U387" s="779"/>
      <c r="V387" s="779"/>
      <c r="W387" s="780"/>
      <c r="X387" s="456"/>
      <c r="AA387" s="664"/>
      <c r="AE387" s="286"/>
      <c r="AF387" s="287"/>
      <c r="AH387" s="373"/>
    </row>
    <row r="388" spans="1:34" ht="14.25" customHeight="1">
      <c r="A388" s="768"/>
      <c r="B388" s="773"/>
      <c r="C388" s="774"/>
      <c r="D388" s="774"/>
      <c r="E388" s="774"/>
      <c r="F388" s="774"/>
      <c r="G388" s="774"/>
      <c r="H388" s="774"/>
      <c r="I388" s="781">
        <v>0</v>
      </c>
      <c r="J388" s="781"/>
      <c r="K388" s="781"/>
      <c r="L388" s="781"/>
      <c r="M388" s="781"/>
      <c r="N388" s="781" t="s">
        <v>264</v>
      </c>
      <c r="O388" s="781"/>
      <c r="P388" s="781"/>
      <c r="Q388" s="781"/>
      <c r="R388" s="781"/>
      <c r="S388" s="781" t="s">
        <v>214</v>
      </c>
      <c r="T388" s="781"/>
      <c r="U388" s="781"/>
      <c r="V388" s="781"/>
      <c r="W388" s="781"/>
      <c r="X388" s="456"/>
      <c r="AA388" s="664"/>
      <c r="AE388" s="286"/>
      <c r="AF388" s="287"/>
      <c r="AH388" s="373"/>
    </row>
    <row r="389" spans="1:34" ht="15" customHeight="1">
      <c r="A389" s="849" t="s">
        <v>731</v>
      </c>
      <c r="B389" s="817" t="s">
        <v>725</v>
      </c>
      <c r="C389" s="826"/>
      <c r="D389" s="826"/>
      <c r="E389" s="826"/>
      <c r="F389" s="826"/>
      <c r="G389" s="826"/>
      <c r="H389" s="827"/>
      <c r="I389" s="802" t="s">
        <v>726</v>
      </c>
      <c r="J389" s="803"/>
      <c r="K389" s="803"/>
      <c r="L389" s="803"/>
      <c r="M389" s="804"/>
      <c r="N389" s="840" t="s">
        <v>727</v>
      </c>
      <c r="O389" s="841"/>
      <c r="P389" s="841"/>
      <c r="Q389" s="841"/>
      <c r="R389" s="842"/>
      <c r="S389" s="840" t="s">
        <v>728</v>
      </c>
      <c r="T389" s="841"/>
      <c r="U389" s="841"/>
      <c r="V389" s="841"/>
      <c r="W389" s="842"/>
      <c r="X389" s="456"/>
      <c r="AA389" s="664"/>
      <c r="AE389" s="286"/>
      <c r="AF389" s="287"/>
      <c r="AH389" s="373"/>
    </row>
    <row r="390" spans="1:34" ht="24" customHeight="1">
      <c r="A390" s="850"/>
      <c r="B390" s="828"/>
      <c r="C390" s="829"/>
      <c r="D390" s="829"/>
      <c r="E390" s="829"/>
      <c r="F390" s="829"/>
      <c r="G390" s="829"/>
      <c r="H390" s="830"/>
      <c r="I390" s="805"/>
      <c r="J390" s="806"/>
      <c r="K390" s="806"/>
      <c r="L390" s="806"/>
      <c r="M390" s="807"/>
      <c r="N390" s="843"/>
      <c r="O390" s="844"/>
      <c r="P390" s="844"/>
      <c r="Q390" s="844"/>
      <c r="R390" s="845"/>
      <c r="S390" s="843"/>
      <c r="T390" s="844"/>
      <c r="U390" s="844"/>
      <c r="V390" s="844"/>
      <c r="W390" s="845"/>
      <c r="X390" s="456"/>
      <c r="AA390" s="664"/>
      <c r="AE390" s="286"/>
      <c r="AF390" s="287"/>
      <c r="AH390" s="373"/>
    </row>
    <row r="391" spans="1:34" ht="12.75">
      <c r="A391" s="850"/>
      <c r="B391" s="828"/>
      <c r="C391" s="829"/>
      <c r="D391" s="829"/>
      <c r="E391" s="829"/>
      <c r="F391" s="829"/>
      <c r="G391" s="829"/>
      <c r="H391" s="830"/>
      <c r="I391" s="843"/>
      <c r="J391" s="844"/>
      <c r="K391" s="844"/>
      <c r="L391" s="844"/>
      <c r="M391" s="845"/>
      <c r="N391" s="782" t="s">
        <v>729</v>
      </c>
      <c r="O391" s="783"/>
      <c r="P391" s="783"/>
      <c r="Q391" s="783"/>
      <c r="R391" s="784"/>
      <c r="S391" s="782" t="s">
        <v>730</v>
      </c>
      <c r="T391" s="783"/>
      <c r="U391" s="783"/>
      <c r="V391" s="783"/>
      <c r="W391" s="784"/>
      <c r="X391" s="456"/>
      <c r="AA391" s="664"/>
      <c r="AE391" s="286"/>
      <c r="AF391" s="287"/>
      <c r="AH391" s="373"/>
    </row>
    <row r="392" spans="1:34" ht="12.75">
      <c r="A392" s="850"/>
      <c r="B392" s="828"/>
      <c r="C392" s="829"/>
      <c r="D392" s="829"/>
      <c r="E392" s="829"/>
      <c r="F392" s="829"/>
      <c r="G392" s="829"/>
      <c r="H392" s="830"/>
      <c r="I392" s="785"/>
      <c r="J392" s="786"/>
      <c r="K392" s="786"/>
      <c r="L392" s="786"/>
      <c r="M392" s="787"/>
      <c r="N392" s="788" t="s">
        <v>298</v>
      </c>
      <c r="O392" s="789"/>
      <c r="P392" s="789"/>
      <c r="Q392" s="789"/>
      <c r="R392" s="790"/>
      <c r="S392" s="788" t="s">
        <v>281</v>
      </c>
      <c r="T392" s="789"/>
      <c r="U392" s="789"/>
      <c r="V392" s="789"/>
      <c r="W392" s="790"/>
      <c r="X392" s="456"/>
      <c r="Y392" s="12"/>
      <c r="Z392" s="243"/>
      <c r="AA392" s="664"/>
      <c r="AB392" s="279"/>
      <c r="AC392" s="12"/>
      <c r="AD392" s="12"/>
      <c r="AE392" s="286"/>
      <c r="AF392" s="287"/>
      <c r="AH392" s="373"/>
    </row>
    <row r="393" spans="1:34" ht="12.75">
      <c r="A393" s="850"/>
      <c r="B393" s="791" t="str">
        <f>B333</f>
        <v>(далее – Прил. № 4)</v>
      </c>
      <c r="C393" s="792"/>
      <c r="D393" s="792"/>
      <c r="E393" s="792"/>
      <c r="F393" s="792"/>
      <c r="G393" s="792"/>
      <c r="H393" s="793"/>
      <c r="I393" s="797">
        <f>IF(Y394=0,IF(FIO="","",0),"")</f>
      </c>
      <c r="J393" s="797"/>
      <c r="K393" s="797"/>
      <c r="L393" s="797"/>
      <c r="M393" s="797"/>
      <c r="N393" s="798"/>
      <c r="O393" s="798"/>
      <c r="P393" s="798"/>
      <c r="Q393" s="798"/>
      <c r="R393" s="798"/>
      <c r="S393" s="798"/>
      <c r="T393" s="798"/>
      <c r="U393" s="798"/>
      <c r="V393" s="798"/>
      <c r="W393" s="798"/>
      <c r="X393" s="456"/>
      <c r="Z393" s="251" t="s">
        <v>209</v>
      </c>
      <c r="AA393" s="664"/>
      <c r="AE393" s="286"/>
      <c r="AF393" s="287"/>
      <c r="AH393" s="373"/>
    </row>
    <row r="394" spans="1:34" ht="12.75">
      <c r="A394" s="851"/>
      <c r="B394" s="794"/>
      <c r="C394" s="795"/>
      <c r="D394" s="795"/>
      <c r="E394" s="795"/>
      <c r="F394" s="795"/>
      <c r="G394" s="795"/>
      <c r="H394" s="796"/>
      <c r="I394" s="797"/>
      <c r="J394" s="797"/>
      <c r="K394" s="797"/>
      <c r="L394" s="797"/>
      <c r="M394" s="797"/>
      <c r="N394" s="798"/>
      <c r="O394" s="798"/>
      <c r="P394" s="798"/>
      <c r="Q394" s="798"/>
      <c r="R394" s="798"/>
      <c r="S394" s="798"/>
      <c r="T394" s="798"/>
      <c r="U394" s="798"/>
      <c r="V394" s="798"/>
      <c r="W394" s="798"/>
      <c r="X394" s="456"/>
      <c r="Y394" s="267">
        <f>MAX(N393:W394)</f>
        <v>0</v>
      </c>
      <c r="Z394" s="253">
        <v>40</v>
      </c>
      <c r="AA394" s="664"/>
      <c r="AE394" s="286"/>
      <c r="AF394" s="287"/>
      <c r="AH394" s="373"/>
    </row>
    <row r="395" spans="1:34" ht="14.25">
      <c r="A395" s="766" t="s">
        <v>204</v>
      </c>
      <c r="B395" s="769" t="s">
        <v>205</v>
      </c>
      <c r="C395" s="770"/>
      <c r="D395" s="770"/>
      <c r="E395" s="770"/>
      <c r="F395" s="770"/>
      <c r="G395" s="770"/>
      <c r="H395" s="770"/>
      <c r="I395" s="775" t="s">
        <v>206</v>
      </c>
      <c r="J395" s="776"/>
      <c r="K395" s="776"/>
      <c r="L395" s="776"/>
      <c r="M395" s="776"/>
      <c r="N395" s="776"/>
      <c r="O395" s="776"/>
      <c r="P395" s="776"/>
      <c r="Q395" s="776"/>
      <c r="R395" s="776"/>
      <c r="S395" s="776"/>
      <c r="T395" s="776"/>
      <c r="U395" s="776"/>
      <c r="V395" s="776"/>
      <c r="W395" s="777"/>
      <c r="X395" s="456"/>
      <c r="AA395" s="1015"/>
      <c r="AE395" s="1014"/>
      <c r="AF395" s="1014"/>
      <c r="AH395" s="373"/>
    </row>
    <row r="396" spans="1:34" ht="14.25" customHeight="1">
      <c r="A396" s="767"/>
      <c r="B396" s="771"/>
      <c r="C396" s="772"/>
      <c r="D396" s="772"/>
      <c r="E396" s="772"/>
      <c r="F396" s="772"/>
      <c r="G396" s="772"/>
      <c r="H396" s="772"/>
      <c r="I396" s="778" t="s">
        <v>211</v>
      </c>
      <c r="J396" s="779"/>
      <c r="K396" s="779"/>
      <c r="L396" s="779"/>
      <c r="M396" s="779"/>
      <c r="N396" s="779"/>
      <c r="O396" s="779"/>
      <c r="P396" s="779"/>
      <c r="Q396" s="779"/>
      <c r="R396" s="779"/>
      <c r="S396" s="779"/>
      <c r="T396" s="779"/>
      <c r="U396" s="779"/>
      <c r="V396" s="779"/>
      <c r="W396" s="780"/>
      <c r="X396" s="456"/>
      <c r="AA396" s="1015"/>
      <c r="AE396" s="1014"/>
      <c r="AF396" s="1014"/>
      <c r="AH396" s="373"/>
    </row>
    <row r="397" spans="1:34" ht="14.25" customHeight="1">
      <c r="A397" s="768"/>
      <c r="B397" s="773"/>
      <c r="C397" s="774"/>
      <c r="D397" s="774"/>
      <c r="E397" s="774"/>
      <c r="F397" s="774"/>
      <c r="G397" s="774"/>
      <c r="H397" s="774"/>
      <c r="I397" s="781">
        <v>0</v>
      </c>
      <c r="J397" s="781"/>
      <c r="K397" s="781"/>
      <c r="L397" s="781"/>
      <c r="M397" s="781"/>
      <c r="N397" s="781" t="s">
        <v>213</v>
      </c>
      <c r="O397" s="781"/>
      <c r="P397" s="781"/>
      <c r="Q397" s="781"/>
      <c r="R397" s="781"/>
      <c r="S397" s="781" t="s">
        <v>231</v>
      </c>
      <c r="T397" s="781"/>
      <c r="U397" s="781"/>
      <c r="V397" s="781"/>
      <c r="W397" s="781"/>
      <c r="X397" s="456"/>
      <c r="AA397" s="1015"/>
      <c r="AE397" s="1014"/>
      <c r="AF397" s="1014"/>
      <c r="AH397" s="373"/>
    </row>
    <row r="398" spans="1:34" ht="12.75" customHeight="1">
      <c r="A398" s="849" t="s">
        <v>719</v>
      </c>
      <c r="B398" s="817" t="s">
        <v>300</v>
      </c>
      <c r="C398" s="826"/>
      <c r="D398" s="826"/>
      <c r="E398" s="826"/>
      <c r="F398" s="826"/>
      <c r="G398" s="826"/>
      <c r="H398" s="827"/>
      <c r="I398" s="802" t="s">
        <v>440</v>
      </c>
      <c r="J398" s="803"/>
      <c r="K398" s="803"/>
      <c r="L398" s="803"/>
      <c r="M398" s="804"/>
      <c r="N398" s="840" t="s">
        <v>427</v>
      </c>
      <c r="O398" s="841"/>
      <c r="P398" s="841"/>
      <c r="Q398" s="841"/>
      <c r="R398" s="842"/>
      <c r="S398" s="840" t="s">
        <v>428</v>
      </c>
      <c r="T398" s="841"/>
      <c r="U398" s="841"/>
      <c r="V398" s="841"/>
      <c r="W398" s="842"/>
      <c r="X398" s="456"/>
      <c r="AA398" s="1015"/>
      <c r="AE398" s="1014"/>
      <c r="AF398" s="1014"/>
      <c r="AH398" s="373"/>
    </row>
    <row r="399" spans="1:34" ht="3.75" customHeight="1">
      <c r="A399" s="850"/>
      <c r="B399" s="828"/>
      <c r="C399" s="829"/>
      <c r="D399" s="829"/>
      <c r="E399" s="829"/>
      <c r="F399" s="829"/>
      <c r="G399" s="829"/>
      <c r="H399" s="830"/>
      <c r="I399" s="805"/>
      <c r="J399" s="806"/>
      <c r="K399" s="806"/>
      <c r="L399" s="806"/>
      <c r="M399" s="807"/>
      <c r="N399" s="843"/>
      <c r="O399" s="844"/>
      <c r="P399" s="844"/>
      <c r="Q399" s="844"/>
      <c r="R399" s="845"/>
      <c r="S399" s="843"/>
      <c r="T399" s="844"/>
      <c r="U399" s="844"/>
      <c r="V399" s="844"/>
      <c r="W399" s="845"/>
      <c r="X399" s="456"/>
      <c r="AA399" s="1015"/>
      <c r="AE399" s="1014"/>
      <c r="AF399" s="1014"/>
      <c r="AH399" s="373"/>
    </row>
    <row r="400" spans="1:34" ht="12.75">
      <c r="A400" s="850"/>
      <c r="B400" s="1042" t="s">
        <v>309</v>
      </c>
      <c r="C400" s="1043"/>
      <c r="D400" s="1043"/>
      <c r="E400" s="1043"/>
      <c r="F400" s="1043"/>
      <c r="G400" s="1043"/>
      <c r="H400" s="1044"/>
      <c r="I400" s="805"/>
      <c r="J400" s="806"/>
      <c r="K400" s="806"/>
      <c r="L400" s="806"/>
      <c r="M400" s="807"/>
      <c r="N400" s="843"/>
      <c r="O400" s="844"/>
      <c r="P400" s="844"/>
      <c r="Q400" s="844"/>
      <c r="R400" s="845"/>
      <c r="S400" s="843"/>
      <c r="T400" s="844"/>
      <c r="U400" s="844"/>
      <c r="V400" s="844"/>
      <c r="W400" s="845"/>
      <c r="X400" s="456"/>
      <c r="AA400" s="1015"/>
      <c r="AE400" s="1014"/>
      <c r="AF400" s="1014"/>
      <c r="AH400" s="373"/>
    </row>
    <row r="401" spans="1:34" ht="12.75">
      <c r="A401" s="850"/>
      <c r="B401" s="791" t="s">
        <v>426</v>
      </c>
      <c r="C401" s="792"/>
      <c r="D401" s="792"/>
      <c r="E401" s="792"/>
      <c r="F401" s="792"/>
      <c r="G401" s="792"/>
      <c r="H401" s="793"/>
      <c r="I401" s="843"/>
      <c r="J401" s="844"/>
      <c r="K401" s="844"/>
      <c r="L401" s="844"/>
      <c r="M401" s="845"/>
      <c r="N401" s="782" t="s">
        <v>423</v>
      </c>
      <c r="O401" s="783"/>
      <c r="P401" s="783"/>
      <c r="Q401" s="783"/>
      <c r="R401" s="784"/>
      <c r="S401" s="782" t="s">
        <v>424</v>
      </c>
      <c r="T401" s="783"/>
      <c r="U401" s="783"/>
      <c r="V401" s="783"/>
      <c r="W401" s="784"/>
      <c r="X401" s="456"/>
      <c r="AA401" s="1015"/>
      <c r="AE401" s="1014"/>
      <c r="AF401" s="1014"/>
      <c r="AH401" s="373"/>
    </row>
    <row r="402" spans="1:34" ht="12.75" customHeight="1">
      <c r="A402" s="850"/>
      <c r="B402" s="791"/>
      <c r="C402" s="792"/>
      <c r="D402" s="792"/>
      <c r="E402" s="792"/>
      <c r="F402" s="792"/>
      <c r="G402" s="792"/>
      <c r="H402" s="793"/>
      <c r="I402" s="843"/>
      <c r="J402" s="844"/>
      <c r="K402" s="844"/>
      <c r="L402" s="844"/>
      <c r="M402" s="845"/>
      <c r="N402" s="782" t="s">
        <v>422</v>
      </c>
      <c r="O402" s="783"/>
      <c r="P402" s="783"/>
      <c r="Q402" s="783"/>
      <c r="R402" s="784"/>
      <c r="S402" s="782" t="s">
        <v>425</v>
      </c>
      <c r="T402" s="783"/>
      <c r="U402" s="783"/>
      <c r="V402" s="783"/>
      <c r="W402" s="784"/>
      <c r="X402" s="456"/>
      <c r="AA402" s="1015"/>
      <c r="AE402" s="1014"/>
      <c r="AF402" s="1014"/>
      <c r="AH402" s="373"/>
    </row>
    <row r="403" spans="1:34" ht="27.75" customHeight="1">
      <c r="A403" s="850"/>
      <c r="B403" s="791"/>
      <c r="C403" s="792"/>
      <c r="D403" s="792"/>
      <c r="E403" s="792"/>
      <c r="F403" s="792"/>
      <c r="G403" s="792"/>
      <c r="H403" s="793"/>
      <c r="I403" s="785"/>
      <c r="J403" s="786"/>
      <c r="K403" s="786"/>
      <c r="L403" s="786"/>
      <c r="M403" s="787"/>
      <c r="N403" s="1048" t="s">
        <v>421</v>
      </c>
      <c r="O403" s="1049"/>
      <c r="P403" s="1049"/>
      <c r="Q403" s="1049"/>
      <c r="R403" s="1050"/>
      <c r="S403" s="969"/>
      <c r="T403" s="970"/>
      <c r="U403" s="970"/>
      <c r="V403" s="970"/>
      <c r="W403" s="971"/>
      <c r="X403" s="456"/>
      <c r="Y403" s="12"/>
      <c r="Z403" s="243"/>
      <c r="AA403" s="1015"/>
      <c r="AB403" s="279"/>
      <c r="AC403" s="12"/>
      <c r="AD403" s="12"/>
      <c r="AE403" s="1014"/>
      <c r="AF403" s="1014"/>
      <c r="AH403" s="373"/>
    </row>
    <row r="404" spans="1:34" ht="12.75" customHeight="1">
      <c r="A404" s="850"/>
      <c r="B404" s="791"/>
      <c r="C404" s="792"/>
      <c r="D404" s="792"/>
      <c r="E404" s="792"/>
      <c r="F404" s="792"/>
      <c r="G404" s="792"/>
      <c r="H404" s="793"/>
      <c r="I404" s="797">
        <f>IF(Y405=0,IF(FIO="","",0),"")</f>
      </c>
      <c r="J404" s="797"/>
      <c r="K404" s="797"/>
      <c r="L404" s="797"/>
      <c r="M404" s="797"/>
      <c r="N404" s="798"/>
      <c r="O404" s="798"/>
      <c r="P404" s="798"/>
      <c r="Q404" s="798"/>
      <c r="R404" s="798"/>
      <c r="S404" s="798"/>
      <c r="T404" s="798"/>
      <c r="U404" s="798"/>
      <c r="V404" s="798"/>
      <c r="W404" s="798"/>
      <c r="X404" s="456"/>
      <c r="Z404" s="251" t="s">
        <v>209</v>
      </c>
      <c r="AA404" s="1015"/>
      <c r="AE404" s="1014"/>
      <c r="AF404" s="1014"/>
      <c r="AH404" s="373"/>
    </row>
    <row r="405" spans="1:34" ht="12.75" customHeight="1">
      <c r="A405" s="851"/>
      <c r="B405" s="794"/>
      <c r="C405" s="795"/>
      <c r="D405" s="795"/>
      <c r="E405" s="795"/>
      <c r="F405" s="795"/>
      <c r="G405" s="795"/>
      <c r="H405" s="796"/>
      <c r="I405" s="797"/>
      <c r="J405" s="797"/>
      <c r="K405" s="797"/>
      <c r="L405" s="797"/>
      <c r="M405" s="797"/>
      <c r="N405" s="798"/>
      <c r="O405" s="798"/>
      <c r="P405" s="798"/>
      <c r="Q405" s="798"/>
      <c r="R405" s="798"/>
      <c r="S405" s="798"/>
      <c r="T405" s="798"/>
      <c r="U405" s="798"/>
      <c r="V405" s="798"/>
      <c r="W405" s="798"/>
      <c r="X405" s="456"/>
      <c r="Y405" s="267">
        <f>SUM(N404:W405)</f>
        <v>0</v>
      </c>
      <c r="Z405" s="253">
        <v>100</v>
      </c>
      <c r="AA405" s="1015"/>
      <c r="AE405" s="1014"/>
      <c r="AF405" s="1014"/>
      <c r="AH405" s="373"/>
    </row>
    <row r="406" spans="24:34" ht="6.75" customHeight="1">
      <c r="X406" s="456"/>
      <c r="AA406" s="200"/>
      <c r="AB406" s="200"/>
      <c r="AC406" s="200"/>
      <c r="AH406" s="373"/>
    </row>
    <row r="407" spans="1:34" ht="14.25">
      <c r="A407" s="263" t="s">
        <v>239</v>
      </c>
      <c r="B407" s="198" t="s">
        <v>240</v>
      </c>
      <c r="X407" s="456"/>
      <c r="AA407" s="200"/>
      <c r="AB407" s="200"/>
      <c r="AC407" s="200"/>
      <c r="AH407" s="373"/>
    </row>
    <row r="408" spans="1:34" ht="12.75" customHeight="1">
      <c r="A408" s="766" t="s">
        <v>204</v>
      </c>
      <c r="B408" s="987" t="s">
        <v>205</v>
      </c>
      <c r="C408" s="987"/>
      <c r="D408" s="987"/>
      <c r="E408" s="987"/>
      <c r="F408" s="775" t="s">
        <v>206</v>
      </c>
      <c r="G408" s="776"/>
      <c r="H408" s="776"/>
      <c r="I408" s="776"/>
      <c r="J408" s="776"/>
      <c r="K408" s="776"/>
      <c r="L408" s="776"/>
      <c r="M408" s="776"/>
      <c r="N408" s="776"/>
      <c r="O408" s="776"/>
      <c r="P408" s="776"/>
      <c r="Q408" s="776"/>
      <c r="R408" s="776"/>
      <c r="S408" s="776"/>
      <c r="T408" s="776"/>
      <c r="U408" s="776"/>
      <c r="V408" s="776"/>
      <c r="W408" s="777"/>
      <c r="X408" s="456"/>
      <c r="AA408" s="200"/>
      <c r="AH408" s="373"/>
    </row>
    <row r="409" spans="1:34" ht="12.75" customHeight="1">
      <c r="A409" s="767"/>
      <c r="B409" s="987"/>
      <c r="C409" s="987"/>
      <c r="D409" s="987"/>
      <c r="E409" s="987"/>
      <c r="F409" s="778" t="s">
        <v>207</v>
      </c>
      <c r="G409" s="779"/>
      <c r="H409" s="779"/>
      <c r="I409" s="779"/>
      <c r="J409" s="779"/>
      <c r="K409" s="779"/>
      <c r="L409" s="779"/>
      <c r="M409" s="779"/>
      <c r="N409" s="779"/>
      <c r="O409" s="779"/>
      <c r="P409" s="779"/>
      <c r="Q409" s="779"/>
      <c r="R409" s="779"/>
      <c r="S409" s="779"/>
      <c r="T409" s="779"/>
      <c r="U409" s="779"/>
      <c r="V409" s="779"/>
      <c r="W409" s="780"/>
      <c r="X409" s="456"/>
      <c r="AA409" s="200"/>
      <c r="AH409" s="373"/>
    </row>
    <row r="410" spans="1:34" ht="15" customHeight="1">
      <c r="A410" s="768"/>
      <c r="B410" s="987"/>
      <c r="C410" s="987"/>
      <c r="D410" s="987"/>
      <c r="E410" s="987"/>
      <c r="F410" s="903">
        <v>0</v>
      </c>
      <c r="G410" s="904"/>
      <c r="H410" s="903">
        <v>10</v>
      </c>
      <c r="I410" s="904"/>
      <c r="J410" s="905"/>
      <c r="K410" s="903" t="s">
        <v>214</v>
      </c>
      <c r="L410" s="904"/>
      <c r="M410" s="904"/>
      <c r="N410" s="904"/>
      <c r="O410" s="905"/>
      <c r="P410" s="1077" t="s">
        <v>215</v>
      </c>
      <c r="Q410" s="1078"/>
      <c r="R410" s="1078"/>
      <c r="S410" s="1078"/>
      <c r="T410" s="1079"/>
      <c r="U410" s="903">
        <v>10</v>
      </c>
      <c r="V410" s="904"/>
      <c r="W410" s="905"/>
      <c r="X410" s="456"/>
      <c r="AA410" s="200"/>
      <c r="AH410" s="373"/>
    </row>
    <row r="411" spans="1:34" ht="12.75" customHeight="1">
      <c r="A411" s="799" t="s">
        <v>241</v>
      </c>
      <c r="B411" s="817" t="s">
        <v>433</v>
      </c>
      <c r="C411" s="826"/>
      <c r="D411" s="826"/>
      <c r="E411" s="827"/>
      <c r="F411" s="840" t="s">
        <v>242</v>
      </c>
      <c r="G411" s="841"/>
      <c r="H411" s="802" t="s">
        <v>431</v>
      </c>
      <c r="I411" s="803"/>
      <c r="J411" s="804"/>
      <c r="K411" s="805" t="s">
        <v>301</v>
      </c>
      <c r="L411" s="806"/>
      <c r="M411" s="806"/>
      <c r="N411" s="806"/>
      <c r="O411" s="807"/>
      <c r="P411" s="802" t="s">
        <v>356</v>
      </c>
      <c r="Q411" s="803"/>
      <c r="R411" s="803"/>
      <c r="S411" s="803"/>
      <c r="T411" s="804"/>
      <c r="U411" s="802" t="s">
        <v>432</v>
      </c>
      <c r="V411" s="803"/>
      <c r="W411" s="804"/>
      <c r="X411" s="456"/>
      <c r="Y411" s="12"/>
      <c r="AA411" s="12"/>
      <c r="AH411" s="373"/>
    </row>
    <row r="412" spans="1:34" ht="12.75" customHeight="1">
      <c r="A412" s="800"/>
      <c r="B412" s="828"/>
      <c r="C412" s="829"/>
      <c r="D412" s="829"/>
      <c r="E412" s="830"/>
      <c r="F412" s="843"/>
      <c r="G412" s="844"/>
      <c r="H412" s="805"/>
      <c r="I412" s="806"/>
      <c r="J412" s="807"/>
      <c r="K412" s="805"/>
      <c r="L412" s="806"/>
      <c r="M412" s="806"/>
      <c r="N412" s="806"/>
      <c r="O412" s="807"/>
      <c r="P412" s="805"/>
      <c r="Q412" s="806"/>
      <c r="R412" s="806"/>
      <c r="S412" s="806"/>
      <c r="T412" s="807"/>
      <c r="U412" s="805"/>
      <c r="V412" s="806"/>
      <c r="W412" s="807"/>
      <c r="X412" s="456"/>
      <c r="Y412" s="12"/>
      <c r="AA412" s="12"/>
      <c r="AH412" s="373"/>
    </row>
    <row r="413" spans="1:34" ht="5.25" customHeight="1">
      <c r="A413" s="800"/>
      <c r="B413" s="828"/>
      <c r="C413" s="829"/>
      <c r="D413" s="829"/>
      <c r="E413" s="830"/>
      <c r="F413" s="843"/>
      <c r="G413" s="844"/>
      <c r="H413" s="805"/>
      <c r="I413" s="806"/>
      <c r="J413" s="807"/>
      <c r="K413" s="805"/>
      <c r="L413" s="806"/>
      <c r="M413" s="806"/>
      <c r="N413" s="806"/>
      <c r="O413" s="807"/>
      <c r="P413" s="805"/>
      <c r="Q413" s="806"/>
      <c r="R413" s="806"/>
      <c r="S413" s="806"/>
      <c r="T413" s="807"/>
      <c r="U413" s="1058"/>
      <c r="V413" s="1059"/>
      <c r="W413" s="1060"/>
      <c r="X413" s="456"/>
      <c r="Y413" s="12"/>
      <c r="AA413" s="12"/>
      <c r="AH413" s="373"/>
    </row>
    <row r="414" spans="1:34" ht="12.75">
      <c r="A414" s="800"/>
      <c r="B414" s="828"/>
      <c r="C414" s="829"/>
      <c r="D414" s="829"/>
      <c r="E414" s="830"/>
      <c r="F414" s="407"/>
      <c r="G414" s="408"/>
      <c r="H414" s="989"/>
      <c r="I414" s="990"/>
      <c r="J414" s="991"/>
      <c r="K414" s="989" t="s">
        <v>465</v>
      </c>
      <c r="L414" s="990"/>
      <c r="M414" s="990"/>
      <c r="N414" s="990"/>
      <c r="O414" s="991"/>
      <c r="P414" s="989" t="s">
        <v>466</v>
      </c>
      <c r="Q414" s="990"/>
      <c r="R414" s="990"/>
      <c r="S414" s="990"/>
      <c r="T414" s="991"/>
      <c r="U414" s="1058"/>
      <c r="V414" s="1059"/>
      <c r="W414" s="1060"/>
      <c r="X414" s="456"/>
      <c r="Y414" s="12"/>
      <c r="AH414" s="373"/>
    </row>
    <row r="415" spans="1:34" ht="12.75" customHeight="1">
      <c r="A415" s="800"/>
      <c r="B415" s="828"/>
      <c r="C415" s="829"/>
      <c r="D415" s="829"/>
      <c r="E415" s="830"/>
      <c r="F415" s="407"/>
      <c r="G415" s="408"/>
      <c r="H415" s="989"/>
      <c r="I415" s="990"/>
      <c r="J415" s="991"/>
      <c r="K415" s="989"/>
      <c r="L415" s="990"/>
      <c r="M415" s="990"/>
      <c r="N415" s="990"/>
      <c r="O415" s="991"/>
      <c r="P415" s="989"/>
      <c r="Q415" s="990"/>
      <c r="R415" s="990"/>
      <c r="S415" s="990"/>
      <c r="T415" s="991"/>
      <c r="U415" s="1058"/>
      <c r="V415" s="1059"/>
      <c r="W415" s="1060"/>
      <c r="X415" s="456"/>
      <c r="Y415" s="12"/>
      <c r="AH415" s="373"/>
    </row>
    <row r="416" spans="1:34" ht="12.75" customHeight="1">
      <c r="A416" s="800"/>
      <c r="B416" s="828"/>
      <c r="C416" s="829"/>
      <c r="D416" s="829"/>
      <c r="E416" s="830"/>
      <c r="F416" s="407"/>
      <c r="G416" s="408"/>
      <c r="H416" s="989"/>
      <c r="I416" s="990"/>
      <c r="J416" s="991"/>
      <c r="K416" s="1071" t="s">
        <v>429</v>
      </c>
      <c r="L416" s="1072"/>
      <c r="M416" s="1072"/>
      <c r="N416" s="1072"/>
      <c r="O416" s="1073"/>
      <c r="P416" s="1071" t="s">
        <v>430</v>
      </c>
      <c r="Q416" s="1072"/>
      <c r="R416" s="1072"/>
      <c r="S416" s="1072"/>
      <c r="T416" s="1073"/>
      <c r="U416" s="1058"/>
      <c r="V416" s="1059"/>
      <c r="W416" s="1060"/>
      <c r="X416" s="456"/>
      <c r="Y416" s="12"/>
      <c r="AH416" s="373"/>
    </row>
    <row r="417" spans="1:34" ht="12.75" customHeight="1">
      <c r="A417" s="800"/>
      <c r="B417" s="828"/>
      <c r="C417" s="829"/>
      <c r="D417" s="829"/>
      <c r="E417" s="830"/>
      <c r="F417" s="409"/>
      <c r="G417" s="410"/>
      <c r="H417" s="1068"/>
      <c r="I417" s="1069"/>
      <c r="J417" s="1070"/>
      <c r="K417" s="1074"/>
      <c r="L417" s="1075"/>
      <c r="M417" s="1075"/>
      <c r="N417" s="1075"/>
      <c r="O417" s="1076"/>
      <c r="P417" s="1074"/>
      <c r="Q417" s="1075"/>
      <c r="R417" s="1075"/>
      <c r="S417" s="1075"/>
      <c r="T417" s="1076"/>
      <c r="U417" s="1061"/>
      <c r="V417" s="1062"/>
      <c r="W417" s="1063"/>
      <c r="X417" s="456"/>
      <c r="Y417" s="12"/>
      <c r="AH417" s="373"/>
    </row>
    <row r="418" spans="1:34" ht="12.75" customHeight="1">
      <c r="A418" s="800"/>
      <c r="B418" s="791" t="str">
        <f>B333</f>
        <v>(далее – Прил. № 4)</v>
      </c>
      <c r="C418" s="792"/>
      <c r="D418" s="792"/>
      <c r="E418" s="793"/>
      <c r="F418" s="869">
        <f>IF(Y419=0,IF(FIO="","",0),"")</f>
      </c>
      <c r="G418" s="870"/>
      <c r="H418" s="956"/>
      <c r="I418" s="957"/>
      <c r="J418" s="958"/>
      <c r="K418" s="1086"/>
      <c r="L418" s="1087"/>
      <c r="M418" s="1087"/>
      <c r="N418" s="1087"/>
      <c r="O418" s="1088"/>
      <c r="P418" s="1086"/>
      <c r="Q418" s="1087"/>
      <c r="R418" s="1087"/>
      <c r="S418" s="1087"/>
      <c r="T418" s="1088"/>
      <c r="U418" s="956"/>
      <c r="V418" s="957"/>
      <c r="W418" s="958"/>
      <c r="X418" s="456"/>
      <c r="Z418" s="251" t="s">
        <v>209</v>
      </c>
      <c r="AA418" s="252" t="s">
        <v>277</v>
      </c>
      <c r="AE418" s="288" t="s">
        <v>3</v>
      </c>
      <c r="AF418" s="289" t="s">
        <v>2</v>
      </c>
      <c r="AH418" s="373"/>
    </row>
    <row r="419" spans="1:34" ht="12.75" customHeight="1">
      <c r="A419" s="801"/>
      <c r="B419" s="794"/>
      <c r="C419" s="795"/>
      <c r="D419" s="795"/>
      <c r="E419" s="796"/>
      <c r="F419" s="875"/>
      <c r="G419" s="876"/>
      <c r="H419" s="959"/>
      <c r="I419" s="960"/>
      <c r="J419" s="961"/>
      <c r="K419" s="959"/>
      <c r="L419" s="960"/>
      <c r="M419" s="960"/>
      <c r="N419" s="960"/>
      <c r="O419" s="961"/>
      <c r="P419" s="959"/>
      <c r="Q419" s="960"/>
      <c r="R419" s="960"/>
      <c r="S419" s="960"/>
      <c r="T419" s="961"/>
      <c r="U419" s="959"/>
      <c r="V419" s="960"/>
      <c r="W419" s="961"/>
      <c r="X419" s="456"/>
      <c r="Y419" s="267">
        <f>MAX(H418:W419)</f>
        <v>0</v>
      </c>
      <c r="Z419" s="253">
        <v>60</v>
      </c>
      <c r="AA419" s="270">
        <f>IF(z_kateg="высшая",AE419,AF419)</f>
        <v>10</v>
      </c>
      <c r="AE419" s="286">
        <v>30</v>
      </c>
      <c r="AF419" s="287">
        <v>10</v>
      </c>
      <c r="AH419" s="373"/>
    </row>
    <row r="420" spans="24:34" ht="6.75" customHeight="1">
      <c r="X420" s="456"/>
      <c r="AA420" s="200"/>
      <c r="AB420" s="200"/>
      <c r="AC420" s="200"/>
      <c r="AH420" s="373"/>
    </row>
    <row r="421" spans="1:34" ht="14.25">
      <c r="A421" s="263" t="s">
        <v>243</v>
      </c>
      <c r="B421" s="198" t="s">
        <v>244</v>
      </c>
      <c r="X421" s="456"/>
      <c r="AA421" s="200"/>
      <c r="AB421" s="200"/>
      <c r="AC421" s="200"/>
      <c r="AH421" s="373"/>
    </row>
    <row r="422" spans="1:34" ht="14.25">
      <c r="A422" s="766" t="s">
        <v>204</v>
      </c>
      <c r="B422" s="769" t="s">
        <v>205</v>
      </c>
      <c r="C422" s="770"/>
      <c r="D422" s="770"/>
      <c r="E422" s="770"/>
      <c r="F422" s="770"/>
      <c r="G422" s="770"/>
      <c r="H422" s="770"/>
      <c r="I422" s="770"/>
      <c r="J422" s="770"/>
      <c r="K422" s="846"/>
      <c r="L422" s="775" t="s">
        <v>206</v>
      </c>
      <c r="M422" s="776"/>
      <c r="N422" s="776"/>
      <c r="O422" s="776"/>
      <c r="P422" s="776"/>
      <c r="Q422" s="776"/>
      <c r="R422" s="776"/>
      <c r="S422" s="776"/>
      <c r="T422" s="776"/>
      <c r="U422" s="776"/>
      <c r="V422" s="776"/>
      <c r="W422" s="777"/>
      <c r="X422" s="456"/>
      <c r="AH422" s="373"/>
    </row>
    <row r="423" spans="1:34" ht="14.25" customHeight="1">
      <c r="A423" s="767"/>
      <c r="B423" s="771"/>
      <c r="C423" s="772"/>
      <c r="D423" s="772"/>
      <c r="E423" s="772"/>
      <c r="F423" s="772"/>
      <c r="G423" s="772"/>
      <c r="H423" s="772"/>
      <c r="I423" s="772"/>
      <c r="J423" s="772"/>
      <c r="K423" s="847"/>
      <c r="L423" s="778" t="s">
        <v>207</v>
      </c>
      <c r="M423" s="779"/>
      <c r="N423" s="779"/>
      <c r="O423" s="779"/>
      <c r="P423" s="779"/>
      <c r="Q423" s="779"/>
      <c r="R423" s="779"/>
      <c r="S423" s="779"/>
      <c r="T423" s="779"/>
      <c r="U423" s="779"/>
      <c r="V423" s="779"/>
      <c r="W423" s="780"/>
      <c r="X423" s="456"/>
      <c r="AH423" s="373"/>
    </row>
    <row r="424" spans="1:34" ht="14.25" customHeight="1">
      <c r="A424" s="768"/>
      <c r="B424" s="773"/>
      <c r="C424" s="774"/>
      <c r="D424" s="774"/>
      <c r="E424" s="774"/>
      <c r="F424" s="774"/>
      <c r="G424" s="774"/>
      <c r="H424" s="774"/>
      <c r="I424" s="774"/>
      <c r="J424" s="774"/>
      <c r="K424" s="848"/>
      <c r="L424" s="903">
        <v>0</v>
      </c>
      <c r="M424" s="904"/>
      <c r="N424" s="904"/>
      <c r="O424" s="905"/>
      <c r="P424" s="903">
        <v>20</v>
      </c>
      <c r="Q424" s="904"/>
      <c r="R424" s="904"/>
      <c r="S424" s="905"/>
      <c r="T424" s="916">
        <v>30</v>
      </c>
      <c r="U424" s="917"/>
      <c r="V424" s="917"/>
      <c r="W424" s="918"/>
      <c r="X424" s="456"/>
      <c r="AH424" s="373"/>
    </row>
    <row r="425" spans="1:34" ht="12.75" customHeight="1">
      <c r="A425" s="249" t="s">
        <v>245</v>
      </c>
      <c r="B425" s="817" t="s">
        <v>667</v>
      </c>
      <c r="C425" s="826"/>
      <c r="D425" s="826"/>
      <c r="E425" s="826"/>
      <c r="F425" s="826"/>
      <c r="G425" s="826"/>
      <c r="H425" s="826"/>
      <c r="I425" s="826"/>
      <c r="J425" s="826"/>
      <c r="K425" s="827"/>
      <c r="L425" s="906" t="s">
        <v>359</v>
      </c>
      <c r="M425" s="907"/>
      <c r="N425" s="907"/>
      <c r="O425" s="908"/>
      <c r="P425" s="802" t="s">
        <v>360</v>
      </c>
      <c r="Q425" s="803"/>
      <c r="R425" s="803"/>
      <c r="S425" s="804"/>
      <c r="T425" s="802" t="s">
        <v>435</v>
      </c>
      <c r="U425" s="803"/>
      <c r="V425" s="803"/>
      <c r="W425" s="804"/>
      <c r="X425" s="456"/>
      <c r="Y425" s="12"/>
      <c r="AA425" s="12"/>
      <c r="AB425" s="12"/>
      <c r="AC425" s="12"/>
      <c r="AH425" s="373"/>
    </row>
    <row r="426" spans="1:34" ht="12.75" customHeight="1">
      <c r="A426" s="301"/>
      <c r="B426" s="828"/>
      <c r="C426" s="829"/>
      <c r="D426" s="829"/>
      <c r="E426" s="829"/>
      <c r="F426" s="829"/>
      <c r="G426" s="829"/>
      <c r="H426" s="829"/>
      <c r="I426" s="829"/>
      <c r="J426" s="829"/>
      <c r="K426" s="830"/>
      <c r="L426" s="909"/>
      <c r="M426" s="910"/>
      <c r="N426" s="910"/>
      <c r="O426" s="911"/>
      <c r="P426" s="805"/>
      <c r="Q426" s="806"/>
      <c r="R426" s="806"/>
      <c r="S426" s="807"/>
      <c r="T426" s="805"/>
      <c r="U426" s="806"/>
      <c r="V426" s="806"/>
      <c r="W426" s="807"/>
      <c r="X426" s="456"/>
      <c r="Y426" s="12"/>
      <c r="AA426" s="12"/>
      <c r="AB426" s="12"/>
      <c r="AC426" s="12"/>
      <c r="AH426" s="373"/>
    </row>
    <row r="427" spans="1:34" ht="5.25" customHeight="1">
      <c r="A427" s="277"/>
      <c r="B427" s="828"/>
      <c r="C427" s="829"/>
      <c r="D427" s="829"/>
      <c r="E427" s="829"/>
      <c r="F427" s="829"/>
      <c r="G427" s="829"/>
      <c r="H427" s="829"/>
      <c r="I427" s="829"/>
      <c r="J427" s="829"/>
      <c r="K427" s="830"/>
      <c r="L427" s="909"/>
      <c r="M427" s="910"/>
      <c r="N427" s="910"/>
      <c r="O427" s="911"/>
      <c r="P427" s="805"/>
      <c r="Q427" s="806"/>
      <c r="R427" s="806"/>
      <c r="S427" s="807"/>
      <c r="T427" s="805"/>
      <c r="U427" s="806"/>
      <c r="V427" s="806"/>
      <c r="W427" s="807"/>
      <c r="X427" s="456"/>
      <c r="Y427" s="12"/>
      <c r="AA427" s="12"/>
      <c r="AB427" s="12"/>
      <c r="AC427" s="12"/>
      <c r="AH427" s="373"/>
    </row>
    <row r="428" spans="1:34" ht="14.25" customHeight="1">
      <c r="A428" s="278"/>
      <c r="B428" s="900" t="s">
        <v>310</v>
      </c>
      <c r="C428" s="901"/>
      <c r="D428" s="901"/>
      <c r="E428" s="901"/>
      <c r="F428" s="901"/>
      <c r="G428" s="901"/>
      <c r="H428" s="901"/>
      <c r="I428" s="901"/>
      <c r="J428" s="901"/>
      <c r="K428" s="902"/>
      <c r="L428" s="909"/>
      <c r="M428" s="910"/>
      <c r="N428" s="910"/>
      <c r="O428" s="911"/>
      <c r="P428" s="805"/>
      <c r="Q428" s="806"/>
      <c r="R428" s="806"/>
      <c r="S428" s="807"/>
      <c r="T428" s="805"/>
      <c r="U428" s="806"/>
      <c r="V428" s="806"/>
      <c r="W428" s="807"/>
      <c r="X428" s="456"/>
      <c r="Y428" s="12"/>
      <c r="AA428" s="12"/>
      <c r="AB428" s="12"/>
      <c r="AC428" s="12"/>
      <c r="AH428" s="373"/>
    </row>
    <row r="429" spans="1:34" ht="12.75" customHeight="1">
      <c r="A429" s="277"/>
      <c r="B429" s="811" t="s">
        <v>358</v>
      </c>
      <c r="C429" s="812"/>
      <c r="D429" s="812"/>
      <c r="E429" s="812"/>
      <c r="F429" s="812"/>
      <c r="G429" s="812"/>
      <c r="H429" s="812"/>
      <c r="I429" s="812"/>
      <c r="J429" s="812"/>
      <c r="K429" s="813"/>
      <c r="L429" s="909"/>
      <c r="M429" s="910"/>
      <c r="N429" s="910"/>
      <c r="O429" s="911"/>
      <c r="P429" s="805"/>
      <c r="Q429" s="806"/>
      <c r="R429" s="806"/>
      <c r="S429" s="807"/>
      <c r="T429" s="805"/>
      <c r="U429" s="806"/>
      <c r="V429" s="806"/>
      <c r="W429" s="807"/>
      <c r="X429" s="456"/>
      <c r="Y429" s="12"/>
      <c r="AH429" s="373"/>
    </row>
    <row r="430" spans="1:34" ht="12.75">
      <c r="A430" s="294"/>
      <c r="B430" s="811"/>
      <c r="C430" s="812"/>
      <c r="D430" s="812"/>
      <c r="E430" s="812"/>
      <c r="F430" s="812"/>
      <c r="G430" s="812"/>
      <c r="H430" s="812"/>
      <c r="I430" s="812"/>
      <c r="J430" s="812"/>
      <c r="K430" s="813"/>
      <c r="L430" s="869">
        <f>IF(Y431=0,IF(FIO="","",0),"")</f>
      </c>
      <c r="M430" s="870"/>
      <c r="N430" s="870"/>
      <c r="O430" s="871"/>
      <c r="P430" s="798"/>
      <c r="Q430" s="798"/>
      <c r="R430" s="798"/>
      <c r="S430" s="798"/>
      <c r="T430" s="798"/>
      <c r="U430" s="798"/>
      <c r="V430" s="798"/>
      <c r="W430" s="798"/>
      <c r="X430" s="456"/>
      <c r="Z430" s="251" t="s">
        <v>209</v>
      </c>
      <c r="AA430" s="252" t="s">
        <v>277</v>
      </c>
      <c r="AE430" s="288" t="s">
        <v>3</v>
      </c>
      <c r="AF430" s="289" t="s">
        <v>2</v>
      </c>
      <c r="AH430" s="373"/>
    </row>
    <row r="431" spans="1:34" ht="12.75">
      <c r="A431" s="295"/>
      <c r="B431" s="814"/>
      <c r="C431" s="815"/>
      <c r="D431" s="815"/>
      <c r="E431" s="815"/>
      <c r="F431" s="815"/>
      <c r="G431" s="815"/>
      <c r="H431" s="815"/>
      <c r="I431" s="815"/>
      <c r="J431" s="815"/>
      <c r="K431" s="816"/>
      <c r="L431" s="875"/>
      <c r="M431" s="876"/>
      <c r="N431" s="876"/>
      <c r="O431" s="877"/>
      <c r="P431" s="798"/>
      <c r="Q431" s="798"/>
      <c r="R431" s="798"/>
      <c r="S431" s="798"/>
      <c r="T431" s="798"/>
      <c r="U431" s="798"/>
      <c r="V431" s="798"/>
      <c r="W431" s="798"/>
      <c r="X431" s="456"/>
      <c r="Y431" s="267">
        <f>MAX(P430:W431)</f>
        <v>0</v>
      </c>
      <c r="Z431" s="253">
        <v>30</v>
      </c>
      <c r="AA431" s="270">
        <f>IF(z_kateg="высшая",AE431,AF431)</f>
        <v>0</v>
      </c>
      <c r="AE431" s="286">
        <v>0</v>
      </c>
      <c r="AF431" s="287">
        <v>0</v>
      </c>
      <c r="AH431" s="373"/>
    </row>
    <row r="432" spans="1:34" ht="14.25">
      <c r="A432" s="766" t="s">
        <v>204</v>
      </c>
      <c r="B432" s="769" t="s">
        <v>205</v>
      </c>
      <c r="C432" s="770"/>
      <c r="D432" s="770"/>
      <c r="E432" s="770"/>
      <c r="F432" s="770"/>
      <c r="G432" s="770"/>
      <c r="H432" s="770"/>
      <c r="I432" s="770"/>
      <c r="J432" s="770"/>
      <c r="K432" s="846"/>
      <c r="L432" s="775" t="s">
        <v>206</v>
      </c>
      <c r="M432" s="776"/>
      <c r="N432" s="776"/>
      <c r="O432" s="776"/>
      <c r="P432" s="776"/>
      <c r="Q432" s="776"/>
      <c r="R432" s="776"/>
      <c r="S432" s="776"/>
      <c r="T432" s="776"/>
      <c r="U432" s="776"/>
      <c r="V432" s="776"/>
      <c r="W432" s="777"/>
      <c r="X432" s="456"/>
      <c r="AH432" s="373"/>
    </row>
    <row r="433" spans="1:34" ht="14.25" customHeight="1">
      <c r="A433" s="767"/>
      <c r="B433" s="771"/>
      <c r="C433" s="772"/>
      <c r="D433" s="772"/>
      <c r="E433" s="772"/>
      <c r="F433" s="772"/>
      <c r="G433" s="772"/>
      <c r="H433" s="772"/>
      <c r="I433" s="772"/>
      <c r="J433" s="772"/>
      <c r="K433" s="847"/>
      <c r="L433" s="778" t="s">
        <v>207</v>
      </c>
      <c r="M433" s="779"/>
      <c r="N433" s="779"/>
      <c r="O433" s="779"/>
      <c r="P433" s="779"/>
      <c r="Q433" s="779"/>
      <c r="R433" s="779"/>
      <c r="S433" s="779"/>
      <c r="T433" s="779"/>
      <c r="U433" s="779"/>
      <c r="V433" s="779"/>
      <c r="W433" s="780"/>
      <c r="X433" s="456"/>
      <c r="AH433" s="373"/>
    </row>
    <row r="434" spans="1:34" ht="14.25" customHeight="1">
      <c r="A434" s="768"/>
      <c r="B434" s="773"/>
      <c r="C434" s="774"/>
      <c r="D434" s="774"/>
      <c r="E434" s="774"/>
      <c r="F434" s="774"/>
      <c r="G434" s="774"/>
      <c r="H434" s="774"/>
      <c r="I434" s="774"/>
      <c r="J434" s="774"/>
      <c r="K434" s="848"/>
      <c r="L434" s="903">
        <v>0</v>
      </c>
      <c r="M434" s="904"/>
      <c r="N434" s="904"/>
      <c r="O434" s="905"/>
      <c r="P434" s="903">
        <v>30</v>
      </c>
      <c r="Q434" s="904"/>
      <c r="R434" s="904"/>
      <c r="S434" s="905"/>
      <c r="T434" s="916">
        <v>50</v>
      </c>
      <c r="U434" s="917"/>
      <c r="V434" s="917"/>
      <c r="W434" s="918"/>
      <c r="X434" s="456"/>
      <c r="AH434" s="373"/>
    </row>
    <row r="435" spans="1:34" ht="12.75" customHeight="1">
      <c r="A435" s="249" t="s">
        <v>246</v>
      </c>
      <c r="B435" s="817" t="s">
        <v>357</v>
      </c>
      <c r="C435" s="826"/>
      <c r="D435" s="826"/>
      <c r="E435" s="826"/>
      <c r="F435" s="826"/>
      <c r="G435" s="826"/>
      <c r="H435" s="826"/>
      <c r="I435" s="826"/>
      <c r="J435" s="826"/>
      <c r="K435" s="827"/>
      <c r="L435" s="906" t="s">
        <v>297</v>
      </c>
      <c r="M435" s="907"/>
      <c r="N435" s="907"/>
      <c r="O435" s="908"/>
      <c r="P435" s="802" t="s">
        <v>247</v>
      </c>
      <c r="Q435" s="803"/>
      <c r="R435" s="803"/>
      <c r="S435" s="804"/>
      <c r="T435" s="802" t="s">
        <v>248</v>
      </c>
      <c r="U435" s="803"/>
      <c r="V435" s="803"/>
      <c r="W435" s="804"/>
      <c r="X435" s="456"/>
      <c r="Y435" s="12"/>
      <c r="AA435" s="12"/>
      <c r="AB435" s="12"/>
      <c r="AC435" s="12"/>
      <c r="AH435" s="373"/>
    </row>
    <row r="436" spans="1:34" ht="9.75" customHeight="1">
      <c r="A436" s="277"/>
      <c r="B436" s="828"/>
      <c r="C436" s="829"/>
      <c r="D436" s="829"/>
      <c r="E436" s="829"/>
      <c r="F436" s="829"/>
      <c r="G436" s="829"/>
      <c r="H436" s="829"/>
      <c r="I436" s="829"/>
      <c r="J436" s="829"/>
      <c r="K436" s="830"/>
      <c r="L436" s="909"/>
      <c r="M436" s="910"/>
      <c r="N436" s="910"/>
      <c r="O436" s="911"/>
      <c r="P436" s="805"/>
      <c r="Q436" s="806"/>
      <c r="R436" s="806"/>
      <c r="S436" s="807"/>
      <c r="T436" s="805"/>
      <c r="U436" s="806"/>
      <c r="V436" s="806"/>
      <c r="W436" s="807"/>
      <c r="X436" s="456"/>
      <c r="Y436" s="12"/>
      <c r="AA436" s="12"/>
      <c r="AB436" s="12"/>
      <c r="AC436" s="12"/>
      <c r="AH436" s="373"/>
    </row>
    <row r="437" spans="1:34" ht="14.25" customHeight="1">
      <c r="A437" s="278"/>
      <c r="B437" s="900" t="s">
        <v>310</v>
      </c>
      <c r="C437" s="901"/>
      <c r="D437" s="901"/>
      <c r="E437" s="901"/>
      <c r="F437" s="901"/>
      <c r="G437" s="901"/>
      <c r="H437" s="901"/>
      <c r="I437" s="901"/>
      <c r="J437" s="901"/>
      <c r="K437" s="902"/>
      <c r="L437" s="909"/>
      <c r="M437" s="910"/>
      <c r="N437" s="910"/>
      <c r="O437" s="911"/>
      <c r="P437" s="805"/>
      <c r="Q437" s="806"/>
      <c r="R437" s="806"/>
      <c r="S437" s="807"/>
      <c r="T437" s="805"/>
      <c r="U437" s="806"/>
      <c r="V437" s="806"/>
      <c r="W437" s="807"/>
      <c r="X437" s="456"/>
      <c r="Y437" s="12"/>
      <c r="AA437" s="12"/>
      <c r="AB437" s="12"/>
      <c r="AC437" s="12"/>
      <c r="AH437" s="373"/>
    </row>
    <row r="438" spans="1:34" ht="12.75" customHeight="1">
      <c r="A438" s="277"/>
      <c r="B438" s="811" t="s">
        <v>302</v>
      </c>
      <c r="C438" s="812"/>
      <c r="D438" s="812"/>
      <c r="E438" s="812"/>
      <c r="F438" s="812"/>
      <c r="G438" s="812"/>
      <c r="H438" s="812"/>
      <c r="I438" s="812"/>
      <c r="J438" s="812"/>
      <c r="K438" s="813"/>
      <c r="L438" s="909"/>
      <c r="M438" s="910"/>
      <c r="N438" s="910"/>
      <c r="O438" s="911"/>
      <c r="P438" s="805"/>
      <c r="Q438" s="806"/>
      <c r="R438" s="806"/>
      <c r="S438" s="807"/>
      <c r="T438" s="805"/>
      <c r="U438" s="806"/>
      <c r="V438" s="806"/>
      <c r="W438" s="807"/>
      <c r="X438" s="456"/>
      <c r="Y438" s="12"/>
      <c r="AH438" s="373"/>
    </row>
    <row r="439" spans="1:34" ht="4.5" customHeight="1">
      <c r="A439" s="278"/>
      <c r="B439" s="811"/>
      <c r="C439" s="812"/>
      <c r="D439" s="812"/>
      <c r="E439" s="812"/>
      <c r="F439" s="812"/>
      <c r="G439" s="812"/>
      <c r="H439" s="812"/>
      <c r="I439" s="812"/>
      <c r="J439" s="812"/>
      <c r="K439" s="813"/>
      <c r="L439" s="992"/>
      <c r="M439" s="993"/>
      <c r="N439" s="993"/>
      <c r="O439" s="994"/>
      <c r="P439" s="808"/>
      <c r="Q439" s="809"/>
      <c r="R439" s="809"/>
      <c r="S439" s="810"/>
      <c r="T439" s="808"/>
      <c r="U439" s="809"/>
      <c r="V439" s="809"/>
      <c r="W439" s="810"/>
      <c r="X439" s="456"/>
      <c r="Y439" s="12"/>
      <c r="AH439" s="373"/>
    </row>
    <row r="440" spans="1:34" ht="12.75" customHeight="1">
      <c r="A440" s="294"/>
      <c r="B440" s="811"/>
      <c r="C440" s="812"/>
      <c r="D440" s="812"/>
      <c r="E440" s="812"/>
      <c r="F440" s="812"/>
      <c r="G440" s="812"/>
      <c r="H440" s="812"/>
      <c r="I440" s="812"/>
      <c r="J440" s="812"/>
      <c r="K440" s="813"/>
      <c r="L440" s="869">
        <f>IF(Y441=0,IF(FIO="","",0),"")</f>
      </c>
      <c r="M440" s="870"/>
      <c r="N440" s="870"/>
      <c r="O440" s="871"/>
      <c r="P440" s="798"/>
      <c r="Q440" s="798"/>
      <c r="R440" s="798"/>
      <c r="S440" s="798"/>
      <c r="T440" s="798"/>
      <c r="U440" s="798"/>
      <c r="V440" s="798"/>
      <c r="W440" s="798"/>
      <c r="X440" s="456"/>
      <c r="Z440" s="251" t="s">
        <v>209</v>
      </c>
      <c r="AA440" s="252" t="s">
        <v>277</v>
      </c>
      <c r="AE440" s="288" t="s">
        <v>3</v>
      </c>
      <c r="AF440" s="289" t="s">
        <v>2</v>
      </c>
      <c r="AH440" s="373"/>
    </row>
    <row r="441" spans="1:34" ht="12.75" customHeight="1">
      <c r="A441" s="295"/>
      <c r="B441" s="814"/>
      <c r="C441" s="815"/>
      <c r="D441" s="815"/>
      <c r="E441" s="815"/>
      <c r="F441" s="815"/>
      <c r="G441" s="815"/>
      <c r="H441" s="815"/>
      <c r="I441" s="815"/>
      <c r="J441" s="815"/>
      <c r="K441" s="816"/>
      <c r="L441" s="875"/>
      <c r="M441" s="876"/>
      <c r="N441" s="876"/>
      <c r="O441" s="877"/>
      <c r="P441" s="798"/>
      <c r="Q441" s="798"/>
      <c r="R441" s="798"/>
      <c r="S441" s="798"/>
      <c r="T441" s="798"/>
      <c r="U441" s="798"/>
      <c r="V441" s="798"/>
      <c r="W441" s="798"/>
      <c r="X441" s="456"/>
      <c r="Y441" s="267">
        <f>MAX(P440:W441)</f>
        <v>0</v>
      </c>
      <c r="Z441" s="253">
        <v>50</v>
      </c>
      <c r="AA441" s="270">
        <f>IF(z_kateg="высшая",AE441,AF441)</f>
        <v>0</v>
      </c>
      <c r="AE441" s="286">
        <v>0</v>
      </c>
      <c r="AF441" s="287">
        <v>0</v>
      </c>
      <c r="AH441" s="373"/>
    </row>
    <row r="442" spans="1:34" ht="12.75" hidden="1">
      <c r="A442" s="5"/>
      <c r="X442" s="456"/>
      <c r="AH442" s="373"/>
    </row>
    <row r="443" spans="1:45" ht="14.25" customHeight="1" hidden="1">
      <c r="A443" s="373"/>
      <c r="B443" s="374"/>
      <c r="C443" s="374"/>
      <c r="D443" s="374"/>
      <c r="E443" s="374"/>
      <c r="F443" s="374"/>
      <c r="G443" s="374"/>
      <c r="H443" s="374"/>
      <c r="I443" s="374"/>
      <c r="J443" s="374"/>
      <c r="K443" s="374"/>
      <c r="L443" s="374"/>
      <c r="M443" s="374"/>
      <c r="N443" s="374"/>
      <c r="O443" s="374"/>
      <c r="P443" s="374"/>
      <c r="Q443" s="374"/>
      <c r="R443" s="374"/>
      <c r="S443" s="374"/>
      <c r="T443" s="374"/>
      <c r="U443" s="374"/>
      <c r="V443" s="374"/>
      <c r="W443" s="374"/>
      <c r="X443" s="456"/>
      <c r="Y443" s="373"/>
      <c r="Z443" s="373"/>
      <c r="AA443" s="373"/>
      <c r="AB443" s="373"/>
      <c r="AC443" s="373"/>
      <c r="AD443" s="373"/>
      <c r="AE443" s="373"/>
      <c r="AF443" s="373"/>
      <c r="AH443" s="373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</row>
    <row r="444" spans="1:34" ht="12.75">
      <c r="A444" s="281"/>
      <c r="B444" s="12"/>
      <c r="C444" s="12"/>
      <c r="D444" s="12"/>
      <c r="X444" s="456"/>
      <c r="AA444" s="251" t="s">
        <v>278</v>
      </c>
      <c r="AB444" s="251" t="s">
        <v>209</v>
      </c>
      <c r="AC444" s="251" t="s">
        <v>277</v>
      </c>
      <c r="AD444" s="289" t="s">
        <v>3</v>
      </c>
      <c r="AE444" s="289" t="s">
        <v>2</v>
      </c>
      <c r="AF444" s="172" t="s">
        <v>279</v>
      </c>
      <c r="AH444" s="373"/>
    </row>
    <row r="445" spans="1:34" ht="15">
      <c r="A445" s="250" t="s">
        <v>192</v>
      </c>
      <c r="B445" s="1052" t="s">
        <v>268</v>
      </c>
      <c r="C445" s="1052"/>
      <c r="D445" s="1052"/>
      <c r="E445" s="1052"/>
      <c r="F445" s="1052"/>
      <c r="G445" s="1052"/>
      <c r="H445" s="1052"/>
      <c r="I445" s="1052"/>
      <c r="J445" s="1052"/>
      <c r="X445" s="456"/>
      <c r="Y445" s="291" t="str">
        <f>A445</f>
        <v>4.</v>
      </c>
      <c r="Z445" s="271" t="s">
        <v>303</v>
      </c>
      <c r="AA445" s="268">
        <f>IF(Z448="нет",0,SUM(Y446:Y462))</f>
        <v>0</v>
      </c>
      <c r="AB445" s="269">
        <f>SUM(Z446:Z462)</f>
        <v>250</v>
      </c>
      <c r="AC445" s="285">
        <f>IF(G56="высшая",AD445,AE445)</f>
        <v>0</v>
      </c>
      <c r="AD445" s="286">
        <v>130</v>
      </c>
      <c r="AE445" s="287">
        <v>0</v>
      </c>
      <c r="AF445" s="284" t="b">
        <f>итого_4&gt;=AC445</f>
        <v>1</v>
      </c>
      <c r="AH445" s="373"/>
    </row>
    <row r="446" spans="24:34" ht="6.75" customHeight="1">
      <c r="X446" s="456"/>
      <c r="AH446" s="373"/>
    </row>
    <row r="447" spans="1:34" ht="14.25" customHeight="1">
      <c r="A447" s="766" t="s">
        <v>204</v>
      </c>
      <c r="B447" s="987" t="s">
        <v>205</v>
      </c>
      <c r="C447" s="987"/>
      <c r="D447" s="987"/>
      <c r="E447" s="987"/>
      <c r="F447" s="987"/>
      <c r="G447" s="987"/>
      <c r="H447" s="769" t="s">
        <v>206</v>
      </c>
      <c r="I447" s="770"/>
      <c r="J447" s="770"/>
      <c r="K447" s="770"/>
      <c r="L447" s="770"/>
      <c r="M447" s="770"/>
      <c r="N447" s="770"/>
      <c r="O447" s="770"/>
      <c r="P447" s="770"/>
      <c r="Q447" s="770"/>
      <c r="R447" s="770"/>
      <c r="S447" s="770"/>
      <c r="T447" s="770"/>
      <c r="U447" s="770"/>
      <c r="V447" s="770"/>
      <c r="W447" s="846"/>
      <c r="X447" s="456"/>
      <c r="Z447" s="5" t="s">
        <v>346</v>
      </c>
      <c r="AD447" s="360">
        <v>560</v>
      </c>
      <c r="AE447" s="361" t="s">
        <v>438</v>
      </c>
      <c r="AH447" s="373"/>
    </row>
    <row r="448" spans="1:34" ht="13.5" customHeight="1">
      <c r="A448" s="768"/>
      <c r="B448" s="987"/>
      <c r="C448" s="987"/>
      <c r="D448" s="987"/>
      <c r="E448" s="987"/>
      <c r="F448" s="987"/>
      <c r="G448" s="987"/>
      <c r="H448" s="773"/>
      <c r="I448" s="774"/>
      <c r="J448" s="774"/>
      <c r="K448" s="774"/>
      <c r="L448" s="774"/>
      <c r="M448" s="774"/>
      <c r="N448" s="774"/>
      <c r="O448" s="774"/>
      <c r="P448" s="774"/>
      <c r="Q448" s="774"/>
      <c r="R448" s="774"/>
      <c r="S448" s="774"/>
      <c r="T448" s="774"/>
      <c r="U448" s="774"/>
      <c r="V448" s="774"/>
      <c r="W448" s="848"/>
      <c r="X448" s="456"/>
      <c r="Z448" s="266" t="str">
        <f>'общие сведения'!G104</f>
        <v>нет</v>
      </c>
      <c r="AH448" s="373"/>
    </row>
    <row r="449" spans="1:34" ht="13.5" customHeight="1">
      <c r="A449" s="927" t="s">
        <v>269</v>
      </c>
      <c r="B449" s="928" t="s">
        <v>347</v>
      </c>
      <c r="C449" s="928"/>
      <c r="D449" s="928"/>
      <c r="E449" s="928"/>
      <c r="F449" s="928"/>
      <c r="G449" s="928"/>
      <c r="H449" s="781">
        <v>0</v>
      </c>
      <c r="I449" s="781"/>
      <c r="J449" s="781"/>
      <c r="K449" s="781"/>
      <c r="L449" s="781">
        <f>AC450</f>
        <v>50</v>
      </c>
      <c r="M449" s="781"/>
      <c r="N449" s="781"/>
      <c r="O449" s="781"/>
      <c r="P449" s="781">
        <f>AD450</f>
        <v>70</v>
      </c>
      <c r="Q449" s="781"/>
      <c r="R449" s="781"/>
      <c r="S449" s="781"/>
      <c r="T449" s="781">
        <f>AE450</f>
        <v>90</v>
      </c>
      <c r="U449" s="781"/>
      <c r="V449" s="781"/>
      <c r="W449" s="781"/>
      <c r="X449" s="456"/>
      <c r="AH449" s="373"/>
    </row>
    <row r="450" spans="1:34" ht="13.5" customHeight="1">
      <c r="A450" s="927"/>
      <c r="B450" s="928"/>
      <c r="C450" s="928"/>
      <c r="D450" s="928"/>
      <c r="E450" s="928"/>
      <c r="F450" s="928"/>
      <c r="G450" s="928"/>
      <c r="H450" s="920" t="s">
        <v>348</v>
      </c>
      <c r="I450" s="921"/>
      <c r="J450" s="921"/>
      <c r="K450" s="922"/>
      <c r="L450" s="920" t="s">
        <v>349</v>
      </c>
      <c r="M450" s="921"/>
      <c r="N450" s="921"/>
      <c r="O450" s="922"/>
      <c r="P450" s="920" t="s">
        <v>350</v>
      </c>
      <c r="Q450" s="921"/>
      <c r="R450" s="921"/>
      <c r="S450" s="922"/>
      <c r="T450" s="920" t="s">
        <v>351</v>
      </c>
      <c r="U450" s="921"/>
      <c r="V450" s="921"/>
      <c r="W450" s="922"/>
      <c r="X450" s="456"/>
      <c r="Z450" s="251" t="s">
        <v>209</v>
      </c>
      <c r="AA450" s="252" t="s">
        <v>277</v>
      </c>
      <c r="AC450" s="251">
        <v>50</v>
      </c>
      <c r="AD450" s="251">
        <v>70</v>
      </c>
      <c r="AE450" s="251">
        <v>90</v>
      </c>
      <c r="AH450" s="373"/>
    </row>
    <row r="451" spans="1:34" ht="13.5" customHeight="1">
      <c r="A451" s="927"/>
      <c r="B451" s="928"/>
      <c r="C451" s="928"/>
      <c r="D451" s="928"/>
      <c r="E451" s="928"/>
      <c r="F451" s="928"/>
      <c r="G451" s="928"/>
      <c r="H451" s="869" t="str">
        <f>IF(Y451=0,IF(OR(FIO="",Z448="нет"),"-",0),"")</f>
        <v>-</v>
      </c>
      <c r="I451" s="870"/>
      <c r="J451" s="870"/>
      <c r="K451" s="871"/>
      <c r="L451" s="919"/>
      <c r="M451" s="919"/>
      <c r="N451" s="919"/>
      <c r="O451" s="919"/>
      <c r="P451" s="919"/>
      <c r="Q451" s="919"/>
      <c r="R451" s="919"/>
      <c r="S451" s="919"/>
      <c r="T451" s="919"/>
      <c r="U451" s="919"/>
      <c r="V451" s="919"/>
      <c r="W451" s="919"/>
      <c r="X451" s="456"/>
      <c r="Y451" s="267">
        <f>MAX(L451:W452)</f>
        <v>0</v>
      </c>
      <c r="Z451" s="253">
        <v>90</v>
      </c>
      <c r="AA451" s="270">
        <v>50</v>
      </c>
      <c r="AC451" s="190" t="str">
        <f>IF($Z$448="нет","-",AC450)</f>
        <v>-</v>
      </c>
      <c r="AD451" s="190" t="str">
        <f>IF($Z$448="нет","-",AD450)</f>
        <v>-</v>
      </c>
      <c r="AE451" s="190" t="str">
        <f>IF($Z$448="нет","-",AE450)</f>
        <v>-</v>
      </c>
      <c r="AH451" s="373"/>
    </row>
    <row r="452" spans="1:34" ht="13.5" customHeight="1">
      <c r="A452" s="927"/>
      <c r="B452" s="928"/>
      <c r="C452" s="928"/>
      <c r="D452" s="928"/>
      <c r="E452" s="928"/>
      <c r="F452" s="928"/>
      <c r="G452" s="928"/>
      <c r="H452" s="875"/>
      <c r="I452" s="876"/>
      <c r="J452" s="876"/>
      <c r="K452" s="877"/>
      <c r="L452" s="798"/>
      <c r="M452" s="798"/>
      <c r="N452" s="798"/>
      <c r="O452" s="798"/>
      <c r="P452" s="798"/>
      <c r="Q452" s="798"/>
      <c r="R452" s="798"/>
      <c r="S452" s="798"/>
      <c r="T452" s="798"/>
      <c r="U452" s="798"/>
      <c r="V452" s="798"/>
      <c r="W452" s="798"/>
      <c r="X452" s="456"/>
      <c r="AH452" s="373"/>
    </row>
    <row r="453" spans="1:34" ht="13.5" customHeight="1">
      <c r="A453" s="927" t="s">
        <v>352</v>
      </c>
      <c r="B453" s="928" t="s">
        <v>353</v>
      </c>
      <c r="C453" s="928"/>
      <c r="D453" s="928"/>
      <c r="E453" s="928"/>
      <c r="F453" s="928"/>
      <c r="G453" s="928"/>
      <c r="H453" s="781">
        <v>0</v>
      </c>
      <c r="I453" s="781"/>
      <c r="J453" s="781"/>
      <c r="K453" s="781"/>
      <c r="L453" s="781">
        <f>AC453</f>
        <v>40</v>
      </c>
      <c r="M453" s="781"/>
      <c r="N453" s="781"/>
      <c r="O453" s="781"/>
      <c r="P453" s="781">
        <f>AD453</f>
        <v>60</v>
      </c>
      <c r="Q453" s="781"/>
      <c r="R453" s="781"/>
      <c r="S453" s="781"/>
      <c r="T453" s="781">
        <f>AE453</f>
        <v>80</v>
      </c>
      <c r="U453" s="781"/>
      <c r="V453" s="781"/>
      <c r="W453" s="781"/>
      <c r="X453" s="456"/>
      <c r="AC453" s="251">
        <v>40</v>
      </c>
      <c r="AD453" s="251">
        <v>60</v>
      </c>
      <c r="AE453" s="251">
        <v>80</v>
      </c>
      <c r="AH453" s="373"/>
    </row>
    <row r="454" spans="1:34" ht="13.5" customHeight="1">
      <c r="A454" s="927"/>
      <c r="B454" s="928"/>
      <c r="C454" s="928"/>
      <c r="D454" s="928"/>
      <c r="E454" s="928"/>
      <c r="F454" s="928"/>
      <c r="G454" s="928"/>
      <c r="H454" s="920" t="s">
        <v>348</v>
      </c>
      <c r="I454" s="921"/>
      <c r="J454" s="921"/>
      <c r="K454" s="922"/>
      <c r="L454" s="920" t="s">
        <v>349</v>
      </c>
      <c r="M454" s="921"/>
      <c r="N454" s="921"/>
      <c r="O454" s="922"/>
      <c r="P454" s="920" t="s">
        <v>350</v>
      </c>
      <c r="Q454" s="921"/>
      <c r="R454" s="921"/>
      <c r="S454" s="922"/>
      <c r="T454" s="920" t="s">
        <v>351</v>
      </c>
      <c r="U454" s="921"/>
      <c r="V454" s="921"/>
      <c r="W454" s="922"/>
      <c r="X454" s="456"/>
      <c r="AC454" s="190" t="str">
        <f>IF($Z$448="нет","-",AC453)</f>
        <v>-</v>
      </c>
      <c r="AD454" s="190" t="str">
        <f>IF($Z$448="нет","-",AD453)</f>
        <v>-</v>
      </c>
      <c r="AE454" s="190" t="str">
        <f>IF($Z$448="нет","-",AE453)</f>
        <v>-</v>
      </c>
      <c r="AH454" s="373"/>
    </row>
    <row r="455" spans="1:34" ht="12.75" customHeight="1">
      <c r="A455" s="927"/>
      <c r="B455" s="928"/>
      <c r="C455" s="928"/>
      <c r="D455" s="928"/>
      <c r="E455" s="928"/>
      <c r="F455" s="928"/>
      <c r="G455" s="928"/>
      <c r="H455" s="869" t="str">
        <f>IF(Y455=0,IF(OR(FIO="",Z448="нет"),"-",0),"")</f>
        <v>-</v>
      </c>
      <c r="I455" s="870"/>
      <c r="J455" s="870"/>
      <c r="K455" s="871"/>
      <c r="L455" s="919"/>
      <c r="M455" s="919"/>
      <c r="N455" s="919"/>
      <c r="O455" s="919"/>
      <c r="P455" s="919"/>
      <c r="Q455" s="919"/>
      <c r="R455" s="919"/>
      <c r="S455" s="919"/>
      <c r="T455" s="919"/>
      <c r="U455" s="919"/>
      <c r="V455" s="919"/>
      <c r="W455" s="919"/>
      <c r="X455" s="456"/>
      <c r="Y455" s="267">
        <f>MAX(L455:W456)</f>
        <v>0</v>
      </c>
      <c r="Z455" s="253">
        <v>80</v>
      </c>
      <c r="AA455" s="270">
        <v>40</v>
      </c>
      <c r="AH455" s="373"/>
    </row>
    <row r="456" spans="1:34" ht="12.75" customHeight="1">
      <c r="A456" s="927"/>
      <c r="B456" s="928"/>
      <c r="C456" s="928"/>
      <c r="D456" s="928"/>
      <c r="E456" s="928"/>
      <c r="F456" s="928"/>
      <c r="G456" s="928"/>
      <c r="H456" s="875"/>
      <c r="I456" s="876"/>
      <c r="J456" s="876"/>
      <c r="K456" s="877"/>
      <c r="L456" s="798"/>
      <c r="M456" s="798"/>
      <c r="N456" s="798"/>
      <c r="O456" s="798"/>
      <c r="P456" s="798"/>
      <c r="Q456" s="798"/>
      <c r="R456" s="798"/>
      <c r="S456" s="798"/>
      <c r="T456" s="798"/>
      <c r="U456" s="798"/>
      <c r="V456" s="798"/>
      <c r="W456" s="798"/>
      <c r="X456" s="456"/>
      <c r="AH456" s="373"/>
    </row>
    <row r="457" spans="1:34" ht="13.5" customHeight="1">
      <c r="A457" s="927" t="s">
        <v>354</v>
      </c>
      <c r="B457" s="928" t="s">
        <v>355</v>
      </c>
      <c r="C457" s="928"/>
      <c r="D457" s="928"/>
      <c r="E457" s="928"/>
      <c r="F457" s="928"/>
      <c r="G457" s="928"/>
      <c r="H457" s="781">
        <v>0</v>
      </c>
      <c r="I457" s="781"/>
      <c r="J457" s="781"/>
      <c r="K457" s="781"/>
      <c r="L457" s="781">
        <v>40</v>
      </c>
      <c r="M457" s="781"/>
      <c r="N457" s="781"/>
      <c r="O457" s="781"/>
      <c r="P457" s="781">
        <v>60</v>
      </c>
      <c r="Q457" s="781"/>
      <c r="R457" s="781"/>
      <c r="S457" s="781"/>
      <c r="T457" s="781">
        <v>80</v>
      </c>
      <c r="U457" s="781"/>
      <c r="V457" s="781"/>
      <c r="W457" s="781"/>
      <c r="X457" s="456"/>
      <c r="AH457" s="373"/>
    </row>
    <row r="458" spans="1:34" ht="13.5" customHeight="1">
      <c r="A458" s="927"/>
      <c r="B458" s="928"/>
      <c r="C458" s="928"/>
      <c r="D458" s="928"/>
      <c r="E458" s="928"/>
      <c r="F458" s="928"/>
      <c r="G458" s="928"/>
      <c r="H458" s="920" t="s">
        <v>348</v>
      </c>
      <c r="I458" s="921"/>
      <c r="J458" s="921"/>
      <c r="K458" s="922"/>
      <c r="L458" s="920" t="s">
        <v>349</v>
      </c>
      <c r="M458" s="921"/>
      <c r="N458" s="921"/>
      <c r="O458" s="922"/>
      <c r="P458" s="920" t="s">
        <v>350</v>
      </c>
      <c r="Q458" s="921"/>
      <c r="R458" s="921"/>
      <c r="S458" s="922"/>
      <c r="T458" s="920" t="s">
        <v>351</v>
      </c>
      <c r="U458" s="921"/>
      <c r="V458" s="921"/>
      <c r="W458" s="922"/>
      <c r="X458" s="456"/>
      <c r="AH458" s="373"/>
    </row>
    <row r="459" spans="1:34" ht="12.75" customHeight="1">
      <c r="A459" s="927"/>
      <c r="B459" s="928"/>
      <c r="C459" s="928"/>
      <c r="D459" s="928"/>
      <c r="E459" s="928"/>
      <c r="F459" s="928"/>
      <c r="G459" s="928"/>
      <c r="H459" s="869" t="str">
        <f>IF(Y459=0,IF(OR(FIO="",Z448="нет"),"-",0),"")</f>
        <v>-</v>
      </c>
      <c r="I459" s="870"/>
      <c r="J459" s="870"/>
      <c r="K459" s="871"/>
      <c r="L459" s="919"/>
      <c r="M459" s="919"/>
      <c r="N459" s="919"/>
      <c r="O459" s="919"/>
      <c r="P459" s="919"/>
      <c r="Q459" s="919"/>
      <c r="R459" s="919"/>
      <c r="S459" s="919"/>
      <c r="T459" s="919"/>
      <c r="U459" s="919"/>
      <c r="V459" s="919"/>
      <c r="W459" s="919"/>
      <c r="X459" s="456"/>
      <c r="Y459" s="267">
        <f>MAX(L459:W460)</f>
        <v>0</v>
      </c>
      <c r="Z459" s="253">
        <v>80</v>
      </c>
      <c r="AA459" s="270">
        <v>40</v>
      </c>
      <c r="AH459" s="373"/>
    </row>
    <row r="460" spans="1:34" ht="12.75" customHeight="1">
      <c r="A460" s="927"/>
      <c r="B460" s="928"/>
      <c r="C460" s="928"/>
      <c r="D460" s="928"/>
      <c r="E460" s="928"/>
      <c r="F460" s="928"/>
      <c r="G460" s="928"/>
      <c r="H460" s="875"/>
      <c r="I460" s="876"/>
      <c r="J460" s="876"/>
      <c r="K460" s="877"/>
      <c r="L460" s="798"/>
      <c r="M460" s="798"/>
      <c r="N460" s="798"/>
      <c r="O460" s="798"/>
      <c r="P460" s="798"/>
      <c r="Q460" s="798"/>
      <c r="R460" s="798"/>
      <c r="S460" s="798"/>
      <c r="T460" s="798"/>
      <c r="U460" s="798"/>
      <c r="V460" s="798"/>
      <c r="W460" s="798"/>
      <c r="X460" s="456"/>
      <c r="AH460" s="373"/>
    </row>
    <row r="461" spans="24:34" ht="12.75">
      <c r="X461" s="456"/>
      <c r="AH461" s="373"/>
    </row>
    <row r="462" spans="24:34" ht="12.75">
      <c r="X462" s="456"/>
      <c r="AH462" s="373"/>
    </row>
    <row r="463" spans="2:34" ht="14.25" customHeight="1">
      <c r="B463" s="260" t="s">
        <v>270</v>
      </c>
      <c r="X463" s="456"/>
      <c r="Y463" s="166"/>
      <c r="Z463" s="166"/>
      <c r="AA463" s="304" t="s">
        <v>436</v>
      </c>
      <c r="AB463" s="268">
        <f>итого_1+итого_2+итого_3</f>
        <v>0</v>
      </c>
      <c r="AC463" s="360">
        <v>720</v>
      </c>
      <c r="AE463" s="360">
        <v>540</v>
      </c>
      <c r="AF463" s="361" t="s">
        <v>311</v>
      </c>
      <c r="AH463" s="373"/>
    </row>
    <row r="464" spans="2:34" ht="4.5" customHeight="1">
      <c r="B464" s="226"/>
      <c r="X464" s="456"/>
      <c r="AH464" s="373"/>
    </row>
    <row r="465" spans="2:34" ht="14.25" customHeight="1">
      <c r="B465" s="962" t="s">
        <v>249</v>
      </c>
      <c r="C465" s="963"/>
      <c r="D465" s="963"/>
      <c r="E465" s="963"/>
      <c r="F465" s="963"/>
      <c r="G465" s="964"/>
      <c r="H465" s="962" t="s">
        <v>250</v>
      </c>
      <c r="I465" s="963"/>
      <c r="J465" s="963"/>
      <c r="K465" s="963"/>
      <c r="L465" s="963"/>
      <c r="M465" s="963"/>
      <c r="N465" s="963"/>
      <c r="O465" s="963"/>
      <c r="P465" s="963"/>
      <c r="Q465" s="963"/>
      <c r="R465" s="963"/>
      <c r="S465" s="964"/>
      <c r="X465" s="456"/>
      <c r="AA465" s="359" t="s">
        <v>437</v>
      </c>
      <c r="AH465" s="373"/>
    </row>
    <row r="466" spans="1:34" ht="14.25" customHeight="1">
      <c r="A466" s="5"/>
      <c r="B466" s="1039" t="s">
        <v>251</v>
      </c>
      <c r="C466" s="1040"/>
      <c r="D466" s="1040"/>
      <c r="E466" s="1040"/>
      <c r="F466" s="1040"/>
      <c r="G466" s="1041"/>
      <c r="H466" s="1054">
        <f>порог_П</f>
        <v>230</v>
      </c>
      <c r="I466" s="1055"/>
      <c r="J466" s="1055"/>
      <c r="K466" s="1055"/>
      <c r="L466" s="1055"/>
      <c r="M466" s="1055"/>
      <c r="N466" s="1055"/>
      <c r="O466" s="1055"/>
      <c r="P466" s="1055"/>
      <c r="Q466" s="1055"/>
      <c r="R466" s="1055"/>
      <c r="S466" s="1056"/>
      <c r="X466" s="456"/>
      <c r="AA466" s="308">
        <f>'общие сведения'!M19</f>
        <v>210</v>
      </c>
      <c r="AB466" s="308">
        <f>'общие сведения'!M20</f>
        <v>270</v>
      </c>
      <c r="AC466" s="5" t="str">
        <f>AA466&amp;" / "&amp;AB466&amp;" *"</f>
        <v>210 / 270 *</v>
      </c>
      <c r="AD466" s="308">
        <f>порог_П</f>
        <v>230</v>
      </c>
      <c r="AE466" s="637" t="s">
        <v>648</v>
      </c>
      <c r="AH466" s="373"/>
    </row>
    <row r="467" spans="1:34" ht="14.25" customHeight="1">
      <c r="A467" s="5"/>
      <c r="B467" s="1039" t="s">
        <v>252</v>
      </c>
      <c r="C467" s="1040"/>
      <c r="D467" s="1040"/>
      <c r="E467" s="1040"/>
      <c r="F467" s="1040"/>
      <c r="G467" s="1041"/>
      <c r="H467" s="1054">
        <f>порог_В</f>
        <v>390</v>
      </c>
      <c r="I467" s="1055"/>
      <c r="J467" s="1055"/>
      <c r="K467" s="1055"/>
      <c r="L467" s="1055"/>
      <c r="M467" s="1055"/>
      <c r="N467" s="1055"/>
      <c r="O467" s="1055"/>
      <c r="P467" s="1055"/>
      <c r="Q467" s="1055"/>
      <c r="R467" s="1055"/>
      <c r="S467" s="1056"/>
      <c r="X467" s="456"/>
      <c r="Y467" s="332">
        <f>IF(G56="первая","первой",IF(G56="высшая","высшей",""))</f>
      </c>
      <c r="AA467" s="308">
        <f>'общие сведения'!N19</f>
        <v>450</v>
      </c>
      <c r="AB467" s="308">
        <f>'общие сведения'!N20</f>
        <v>510</v>
      </c>
      <c r="AC467" s="5" t="str">
        <f>AA467&amp;" / "&amp;AB467&amp;" *"</f>
        <v>450 / 510 *</v>
      </c>
      <c r="AD467" s="308">
        <f>порог_В</f>
        <v>390</v>
      </c>
      <c r="AE467" s="637" t="s">
        <v>649</v>
      </c>
      <c r="AH467" s="373"/>
    </row>
    <row r="468" spans="1:34" ht="12.75" customHeight="1">
      <c r="A468" s="326"/>
      <c r="B468" s="326"/>
      <c r="C468" s="326"/>
      <c r="D468" s="326"/>
      <c r="E468" s="326"/>
      <c r="F468" s="326"/>
      <c r="G468" s="326"/>
      <c r="H468" s="326"/>
      <c r="I468" s="305"/>
      <c r="J468" s="305"/>
      <c r="L468" s="328"/>
      <c r="M468" s="328"/>
      <c r="N468" s="327"/>
      <c r="P468" s="328"/>
      <c r="Q468" s="327"/>
      <c r="R468" s="327"/>
      <c r="S468" s="12"/>
      <c r="X468" s="456"/>
      <c r="AA468" s="308"/>
      <c r="AH468" s="373"/>
    </row>
    <row r="469" spans="1:34" ht="12.75" customHeight="1">
      <c r="A469" s="326"/>
      <c r="B469" s="260" t="s">
        <v>274</v>
      </c>
      <c r="C469" s="326"/>
      <c r="D469" s="326"/>
      <c r="E469" s="326"/>
      <c r="F469" s="326"/>
      <c r="G469" s="326"/>
      <c r="H469" s="326"/>
      <c r="I469" s="305"/>
      <c r="J469" s="305"/>
      <c r="K469" s="328"/>
      <c r="L469" s="328"/>
      <c r="M469" s="328"/>
      <c r="N469" s="327"/>
      <c r="O469" s="328"/>
      <c r="P469" s="1057">
        <f>IF(FIO="","",Всего)</f>
      </c>
      <c r="Q469" s="1057"/>
      <c r="R469" s="324"/>
      <c r="S469" s="260" t="s">
        <v>253</v>
      </c>
      <c r="X469" s="456"/>
      <c r="AH469" s="373"/>
    </row>
    <row r="470" spans="24:34" ht="12.75">
      <c r="X470" s="456"/>
      <c r="AH470" s="373"/>
    </row>
    <row r="471" spans="1:34" ht="15">
      <c r="A471" s="201" t="s">
        <v>193</v>
      </c>
      <c r="B471" s="329"/>
      <c r="C471" s="329"/>
      <c r="D471" s="329"/>
      <c r="E471" s="329"/>
      <c r="F471" s="330"/>
      <c r="G471" s="330"/>
      <c r="H471" s="330"/>
      <c r="I471" s="330"/>
      <c r="J471" s="330"/>
      <c r="K471" s="239"/>
      <c r="L471" s="239" t="str">
        <f>Y471&amp;Y473</f>
        <v>инструктора по труду</v>
      </c>
      <c r="M471" s="214"/>
      <c r="N471" s="214"/>
      <c r="O471" s="330"/>
      <c r="P471" s="330"/>
      <c r="Q471" s="330"/>
      <c r="R471" s="330"/>
      <c r="S471" s="330"/>
      <c r="U471" s="331"/>
      <c r="V471" s="331"/>
      <c r="W471" s="400" t="s">
        <v>565</v>
      </c>
      <c r="X471" s="456"/>
      <c r="Y471" s="404" t="str">
        <f>IF(AND(AA35&lt;31,Y36=1),Y35,AE35)</f>
        <v>инструктора по труду</v>
      </c>
      <c r="AH471" s="373"/>
    </row>
    <row r="472" spans="1:34" ht="9" customHeight="1">
      <c r="A472" s="201"/>
      <c r="B472" s="329"/>
      <c r="C472" s="329"/>
      <c r="D472" s="329"/>
      <c r="E472" s="329"/>
      <c r="F472" s="852" t="s">
        <v>506</v>
      </c>
      <c r="G472" s="852"/>
      <c r="H472" s="852"/>
      <c r="I472" s="852"/>
      <c r="J472" s="852"/>
      <c r="K472" s="852"/>
      <c r="L472" s="852"/>
      <c r="M472" s="852"/>
      <c r="N472" s="852"/>
      <c r="O472" s="852"/>
      <c r="P472" s="852"/>
      <c r="Q472" s="852"/>
      <c r="R472" s="852"/>
      <c r="S472" s="852"/>
      <c r="U472" s="331"/>
      <c r="V472" s="331"/>
      <c r="W472" s="400"/>
      <c r="X472" s="373"/>
      <c r="Y472" s="404"/>
      <c r="AH472" s="373"/>
    </row>
    <row r="473" spans="1:34" ht="15">
      <c r="A473" s="201" t="s">
        <v>564</v>
      </c>
      <c r="B473" s="329"/>
      <c r="C473" s="329"/>
      <c r="D473" s="329"/>
      <c r="E473" s="329"/>
      <c r="F473" s="329"/>
      <c r="G473" s="139"/>
      <c r="H473" s="468">
        <f>IF(OR(Всего="",FIO="",G56=""),"",Y467)</f>
      </c>
      <c r="I473" s="469"/>
      <c r="J473" s="469"/>
      <c r="K473" s="139"/>
      <c r="L473" s="202" t="s">
        <v>194</v>
      </c>
      <c r="M473" s="329"/>
      <c r="N473" s="329"/>
      <c r="O473" s="329"/>
      <c r="P473" s="329"/>
      <c r="Q473" s="329"/>
      <c r="R473" s="329"/>
      <c r="S473" s="329"/>
      <c r="T473" s="329"/>
      <c r="U473" s="329"/>
      <c r="V473" s="329"/>
      <c r="W473" s="329"/>
      <c r="X473" s="456"/>
      <c r="Y473" s="404">
        <f>Z82</f>
      </c>
      <c r="AH473" s="373"/>
    </row>
    <row r="474" spans="24:34" ht="12.75">
      <c r="X474" s="456"/>
      <c r="AH474" s="373"/>
    </row>
    <row r="475" spans="1:34" ht="15">
      <c r="A475" s="634" t="s">
        <v>165</v>
      </c>
      <c r="X475" s="456"/>
      <c r="AH475" s="373"/>
    </row>
    <row r="476" spans="1:34" ht="3" customHeight="1">
      <c r="A476" s="308"/>
      <c r="B476" s="264"/>
      <c r="C476" s="308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V476" s="264"/>
      <c r="W476" s="264"/>
      <c r="X476" s="456"/>
      <c r="AH476" s="373"/>
    </row>
    <row r="477" spans="1:34" ht="15" customHeight="1">
      <c r="A477" s="998">
        <f>D87</f>
      </c>
      <c r="B477" s="998"/>
      <c r="C477" s="998"/>
      <c r="D477" s="998"/>
      <c r="E477" s="998"/>
      <c r="F477" s="998"/>
      <c r="G477" s="998"/>
      <c r="H477" s="998"/>
      <c r="I477" s="998"/>
      <c r="J477" s="998"/>
      <c r="K477" s="998"/>
      <c r="L477" s="998"/>
      <c r="M477" s="998"/>
      <c r="N477" s="998"/>
      <c r="O477" s="998"/>
      <c r="P477" s="998"/>
      <c r="Q477" s="998"/>
      <c r="R477" s="998"/>
      <c r="S477" s="998"/>
      <c r="T477" s="998"/>
      <c r="U477" s="998"/>
      <c r="V477" s="998"/>
      <c r="W477" s="998"/>
      <c r="X477" s="456"/>
      <c r="Y477" s="99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77" s="997"/>
      <c r="AA477" s="997"/>
      <c r="AB477" s="997"/>
      <c r="AC477" s="997"/>
      <c r="AD477" s="997"/>
      <c r="AE477" s="997"/>
      <c r="AH477" s="373"/>
    </row>
    <row r="478" spans="1:34" ht="15" customHeight="1">
      <c r="A478" s="998"/>
      <c r="B478" s="998"/>
      <c r="C478" s="998"/>
      <c r="D478" s="998"/>
      <c r="E478" s="998"/>
      <c r="F478" s="998"/>
      <c r="G478" s="998"/>
      <c r="H478" s="998"/>
      <c r="I478" s="998"/>
      <c r="J478" s="998"/>
      <c r="K478" s="998"/>
      <c r="L478" s="998"/>
      <c r="M478" s="998"/>
      <c r="N478" s="998"/>
      <c r="O478" s="998"/>
      <c r="P478" s="998"/>
      <c r="Q478" s="998"/>
      <c r="R478" s="998"/>
      <c r="S478" s="998"/>
      <c r="T478" s="998"/>
      <c r="U478" s="998"/>
      <c r="V478" s="998"/>
      <c r="W478" s="998"/>
      <c r="X478" s="456"/>
      <c r="Y478" s="997"/>
      <c r="Z478" s="997"/>
      <c r="AA478" s="997"/>
      <c r="AB478" s="997"/>
      <c r="AC478" s="997"/>
      <c r="AD478" s="997"/>
      <c r="AE478" s="997"/>
      <c r="AF478" s="296"/>
      <c r="AG478" s="296"/>
      <c r="AH478" s="373"/>
    </row>
    <row r="479" spans="1:34" ht="15" customHeight="1">
      <c r="A479" s="998"/>
      <c r="B479" s="998"/>
      <c r="C479" s="998"/>
      <c r="D479" s="998"/>
      <c r="E479" s="998"/>
      <c r="F479" s="998"/>
      <c r="G479" s="998"/>
      <c r="H479" s="998"/>
      <c r="I479" s="998"/>
      <c r="J479" s="998"/>
      <c r="K479" s="998"/>
      <c r="L479" s="998"/>
      <c r="M479" s="998"/>
      <c r="N479" s="998"/>
      <c r="O479" s="998"/>
      <c r="P479" s="998"/>
      <c r="Q479" s="998"/>
      <c r="R479" s="998"/>
      <c r="S479" s="998"/>
      <c r="T479" s="998"/>
      <c r="U479" s="998"/>
      <c r="V479" s="998"/>
      <c r="W479" s="998"/>
      <c r="X479" s="456"/>
      <c r="Y479" s="997"/>
      <c r="Z479" s="997"/>
      <c r="AA479" s="997"/>
      <c r="AB479" s="997"/>
      <c r="AC479" s="997"/>
      <c r="AD479" s="997"/>
      <c r="AE479" s="997"/>
      <c r="AF479" s="296"/>
      <c r="AG479" s="296"/>
      <c r="AH479" s="373"/>
    </row>
    <row r="480" spans="1:34" ht="12.75" customHeight="1">
      <c r="A480" s="998"/>
      <c r="B480" s="998"/>
      <c r="C480" s="998"/>
      <c r="D480" s="998"/>
      <c r="E480" s="998"/>
      <c r="F480" s="998"/>
      <c r="G480" s="998"/>
      <c r="H480" s="998"/>
      <c r="I480" s="998"/>
      <c r="J480" s="998"/>
      <c r="K480" s="998"/>
      <c r="L480" s="998"/>
      <c r="M480" s="998"/>
      <c r="N480" s="998"/>
      <c r="O480" s="998"/>
      <c r="P480" s="998"/>
      <c r="Q480" s="998"/>
      <c r="R480" s="998"/>
      <c r="S480" s="998"/>
      <c r="T480" s="998"/>
      <c r="U480" s="998"/>
      <c r="V480" s="998"/>
      <c r="W480" s="998"/>
      <c r="X480" s="456"/>
      <c r="Y480" s="997"/>
      <c r="Z480" s="997"/>
      <c r="AA480" s="997"/>
      <c r="AB480" s="997"/>
      <c r="AC480" s="997"/>
      <c r="AD480" s="997"/>
      <c r="AE480" s="997"/>
      <c r="AF480" s="296"/>
      <c r="AG480" s="296"/>
      <c r="AH480" s="373"/>
    </row>
    <row r="481" spans="1:123" ht="15">
      <c r="A481" s="264"/>
      <c r="B481" s="264"/>
      <c r="C481" s="264"/>
      <c r="D481" s="264"/>
      <c r="E481" s="264"/>
      <c r="F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4"/>
      <c r="Q481" s="264"/>
      <c r="R481" s="264"/>
      <c r="S481" s="264"/>
      <c r="T481" s="264"/>
      <c r="U481" s="264"/>
      <c r="V481" s="264"/>
      <c r="W481" s="264"/>
      <c r="X481" s="456"/>
      <c r="Y481" s="296"/>
      <c r="Z481" s="296"/>
      <c r="AA481" s="296"/>
      <c r="AB481" s="296"/>
      <c r="AC481" s="296"/>
      <c r="AD481" s="296"/>
      <c r="AE481" s="296"/>
      <c r="AF481" s="296"/>
      <c r="AG481" s="296"/>
      <c r="AH481" s="373"/>
      <c r="AI481" s="296"/>
      <c r="AJ481" s="296"/>
      <c r="AK481" s="296"/>
      <c r="AL481" s="296"/>
      <c r="AM481" s="296"/>
      <c r="AQ481" s="296"/>
      <c r="AR481" s="296"/>
      <c r="AS481" s="296"/>
      <c r="AT481" s="296"/>
      <c r="AU481" s="296"/>
      <c r="AV481" s="296"/>
      <c r="BD481" s="296"/>
      <c r="BE481" s="296"/>
      <c r="BF481" s="296"/>
      <c r="BG481" s="296"/>
      <c r="BH481" s="296"/>
      <c r="BI481" s="296"/>
      <c r="BJ481" s="296"/>
      <c r="BK481" s="296"/>
      <c r="BS481" s="296"/>
      <c r="BT481" s="296"/>
      <c r="BU481" s="296"/>
      <c r="BV481" s="296"/>
      <c r="BW481" s="296"/>
      <c r="BX481" s="296"/>
      <c r="BY481" s="296"/>
      <c r="BZ481" s="296"/>
      <c r="CH481" s="296"/>
      <c r="CI481" s="296"/>
      <c r="CJ481" s="296"/>
      <c r="CK481" s="296"/>
      <c r="CL481" s="296"/>
      <c r="CM481" s="296"/>
      <c r="CN481" s="296"/>
      <c r="CO481" s="296"/>
      <c r="CW481" s="296"/>
      <c r="CX481" s="296"/>
      <c r="CY481" s="296"/>
      <c r="CZ481" s="296"/>
      <c r="DA481" s="296"/>
      <c r="DB481" s="296"/>
      <c r="DC481" s="296"/>
      <c r="DD481" s="296"/>
      <c r="DL481" s="296"/>
      <c r="DM481" s="296"/>
      <c r="DN481" s="296"/>
      <c r="DO481" s="296"/>
      <c r="DP481" s="296"/>
      <c r="DQ481" s="296"/>
      <c r="DR481" s="296"/>
      <c r="DS481" s="296"/>
    </row>
    <row r="482" spans="1:123" ht="6" customHeight="1" hidden="1">
      <c r="A482" s="384"/>
      <c r="B482" s="384"/>
      <c r="C482" s="384"/>
      <c r="D482" s="384"/>
      <c r="E482" s="264"/>
      <c r="F482" s="264"/>
      <c r="G482" s="264"/>
      <c r="H482" s="264"/>
      <c r="I482" s="264"/>
      <c r="J482" s="264"/>
      <c r="K482" s="264"/>
      <c r="L482" s="264"/>
      <c r="M482" s="264"/>
      <c r="N482" s="264"/>
      <c r="O482" s="264"/>
      <c r="P482" s="264"/>
      <c r="Q482" s="264"/>
      <c r="R482" s="264"/>
      <c r="S482" s="264"/>
      <c r="T482" s="264"/>
      <c r="U482" s="264"/>
      <c r="V482" s="264"/>
      <c r="W482" s="264"/>
      <c r="X482" s="456"/>
      <c r="Y482" s="296"/>
      <c r="Z482" s="296"/>
      <c r="AA482" s="296"/>
      <c r="AB482" s="296"/>
      <c r="AC482" s="296"/>
      <c r="AD482" s="296"/>
      <c r="AE482" s="296"/>
      <c r="AF482" s="296"/>
      <c r="AG482" s="296"/>
      <c r="AH482" s="373"/>
      <c r="AI482" s="296"/>
      <c r="AJ482" s="296"/>
      <c r="AK482" s="296"/>
      <c r="AL482" s="296"/>
      <c r="AM482" s="296"/>
      <c r="AQ482" s="296"/>
      <c r="AR482" s="296"/>
      <c r="AS482" s="296"/>
      <c r="AT482" s="296"/>
      <c r="AU482" s="296"/>
      <c r="AV482" s="296"/>
      <c r="BD482" s="296"/>
      <c r="BE482" s="296"/>
      <c r="BF482" s="296"/>
      <c r="BG482" s="296"/>
      <c r="BH482" s="296"/>
      <c r="BI482" s="296"/>
      <c r="BJ482" s="296"/>
      <c r="BK482" s="296"/>
      <c r="BS482" s="296"/>
      <c r="BT482" s="296"/>
      <c r="BU482" s="296"/>
      <c r="BV482" s="296"/>
      <c r="BW482" s="296"/>
      <c r="BX482" s="296"/>
      <c r="BY482" s="296"/>
      <c r="BZ482" s="296"/>
      <c r="CH482" s="296"/>
      <c r="CI482" s="296"/>
      <c r="CJ482" s="296"/>
      <c r="CK482" s="296"/>
      <c r="CL482" s="296"/>
      <c r="CM482" s="296"/>
      <c r="CN482" s="296"/>
      <c r="CO482" s="296"/>
      <c r="CW482" s="296"/>
      <c r="CX482" s="296"/>
      <c r="CY482" s="296"/>
      <c r="CZ482" s="296"/>
      <c r="DA482" s="296"/>
      <c r="DB482" s="296"/>
      <c r="DC482" s="296"/>
      <c r="DD482" s="296"/>
      <c r="DL482" s="296"/>
      <c r="DM482" s="296"/>
      <c r="DN482" s="296"/>
      <c r="DO482" s="296"/>
      <c r="DP482" s="296"/>
      <c r="DQ482" s="296"/>
      <c r="DR482" s="296"/>
      <c r="DS482" s="296"/>
    </row>
    <row r="483" spans="1:123" ht="15" customHeight="1" hidden="1">
      <c r="A483" s="383" t="s">
        <v>210</v>
      </c>
      <c r="B483" s="1053"/>
      <c r="C483" s="1053"/>
      <c r="D483" s="1053"/>
      <c r="E483" s="1053"/>
      <c r="F483" s="1053"/>
      <c r="G483" s="1053"/>
      <c r="H483" s="1053"/>
      <c r="I483" s="1053"/>
      <c r="J483" s="1053"/>
      <c r="K483" s="1053"/>
      <c r="L483" s="1053"/>
      <c r="M483" s="1053"/>
      <c r="N483" s="1053"/>
      <c r="O483" s="1053"/>
      <c r="P483" s="1053"/>
      <c r="Q483" s="1053"/>
      <c r="R483" s="1053"/>
      <c r="S483" s="1053"/>
      <c r="T483" s="1053"/>
      <c r="U483" s="1053"/>
      <c r="V483" s="1053"/>
      <c r="W483" s="1053"/>
      <c r="X483" s="456"/>
      <c r="Y483" s="296"/>
      <c r="Z483" s="296"/>
      <c r="AA483" s="296"/>
      <c r="AB483" s="296"/>
      <c r="AC483" s="296"/>
      <c r="AD483" s="296"/>
      <c r="AE483" s="296"/>
      <c r="AF483" s="296"/>
      <c r="AG483" s="296"/>
      <c r="AH483" s="373"/>
      <c r="AI483" s="296"/>
      <c r="AJ483" s="296"/>
      <c r="AK483" s="296"/>
      <c r="AL483" s="296"/>
      <c r="AM483" s="296"/>
      <c r="AQ483" s="296"/>
      <c r="AR483" s="296"/>
      <c r="AS483" s="296"/>
      <c r="AT483" s="296"/>
      <c r="AU483" s="296"/>
      <c r="AV483" s="296"/>
      <c r="BD483" s="296"/>
      <c r="BE483" s="296"/>
      <c r="BF483" s="296"/>
      <c r="BG483" s="296"/>
      <c r="BH483" s="296"/>
      <c r="BI483" s="296"/>
      <c r="BJ483" s="296"/>
      <c r="BK483" s="296"/>
      <c r="BS483" s="296"/>
      <c r="BT483" s="296"/>
      <c r="BU483" s="296"/>
      <c r="BV483" s="296"/>
      <c r="BW483" s="296"/>
      <c r="BX483" s="296"/>
      <c r="BY483" s="296"/>
      <c r="BZ483" s="296"/>
      <c r="CH483" s="296"/>
      <c r="CI483" s="296"/>
      <c r="CJ483" s="296"/>
      <c r="CK483" s="296"/>
      <c r="CL483" s="296"/>
      <c r="CM483" s="296"/>
      <c r="CN483" s="296"/>
      <c r="CO483" s="296"/>
      <c r="CW483" s="296"/>
      <c r="CX483" s="296"/>
      <c r="CY483" s="296"/>
      <c r="CZ483" s="296"/>
      <c r="DA483" s="296"/>
      <c r="DB483" s="296"/>
      <c r="DC483" s="296"/>
      <c r="DD483" s="296"/>
      <c r="DL483" s="296"/>
      <c r="DM483" s="296"/>
      <c r="DN483" s="296"/>
      <c r="DO483" s="296"/>
      <c r="DP483" s="296"/>
      <c r="DQ483" s="296"/>
      <c r="DR483" s="296"/>
      <c r="DS483" s="296"/>
    </row>
    <row r="484" spans="1:123" ht="32.25" customHeight="1" hidden="1">
      <c r="A484" s="5"/>
      <c r="B484" s="1053"/>
      <c r="C484" s="1053"/>
      <c r="D484" s="1053"/>
      <c r="E484" s="1053"/>
      <c r="F484" s="1053"/>
      <c r="G484" s="1053"/>
      <c r="H484" s="1053"/>
      <c r="I484" s="1053"/>
      <c r="J484" s="1053"/>
      <c r="K484" s="1053"/>
      <c r="L484" s="1053"/>
      <c r="M484" s="1053"/>
      <c r="N484" s="1053"/>
      <c r="O484" s="1053"/>
      <c r="P484" s="1053"/>
      <c r="Q484" s="1053"/>
      <c r="R484" s="1053"/>
      <c r="S484" s="1053"/>
      <c r="T484" s="1053"/>
      <c r="U484" s="1053"/>
      <c r="V484" s="1053"/>
      <c r="W484" s="1053"/>
      <c r="X484" s="456"/>
      <c r="Y484" s="296"/>
      <c r="Z484" s="296"/>
      <c r="AA484" s="296"/>
      <c r="AB484" s="296"/>
      <c r="AC484" s="296"/>
      <c r="AD484" s="296"/>
      <c r="AE484" s="296"/>
      <c r="AF484" s="296"/>
      <c r="AG484" s="296"/>
      <c r="AH484" s="373"/>
      <c r="AI484" s="296"/>
      <c r="AJ484" s="296"/>
      <c r="AK484" s="296"/>
      <c r="AL484" s="296"/>
      <c r="AM484" s="296"/>
      <c r="AQ484" s="296"/>
      <c r="AR484" s="296"/>
      <c r="AS484" s="296"/>
      <c r="AT484" s="296"/>
      <c r="AU484" s="296"/>
      <c r="AV484" s="296"/>
      <c r="BD484" s="296"/>
      <c r="BE484" s="296"/>
      <c r="BF484" s="296"/>
      <c r="BG484" s="296"/>
      <c r="BH484" s="296"/>
      <c r="BI484" s="296"/>
      <c r="BJ484" s="296"/>
      <c r="BK484" s="296"/>
      <c r="BS484" s="296"/>
      <c r="BT484" s="296"/>
      <c r="BU484" s="296"/>
      <c r="BV484" s="296"/>
      <c r="BW484" s="296"/>
      <c r="BX484" s="296"/>
      <c r="BY484" s="296"/>
      <c r="BZ484" s="296"/>
      <c r="CH484" s="296"/>
      <c r="CI484" s="296"/>
      <c r="CJ484" s="296"/>
      <c r="CK484" s="296"/>
      <c r="CL484" s="296"/>
      <c r="CM484" s="296"/>
      <c r="CN484" s="296"/>
      <c r="CO484" s="296"/>
      <c r="CW484" s="296"/>
      <c r="CX484" s="296"/>
      <c r="CY484" s="296"/>
      <c r="CZ484" s="296"/>
      <c r="DA484" s="296"/>
      <c r="DB484" s="296"/>
      <c r="DC484" s="296"/>
      <c r="DD484" s="296"/>
      <c r="DL484" s="296"/>
      <c r="DM484" s="296"/>
      <c r="DN484" s="296"/>
      <c r="DO484" s="296"/>
      <c r="DP484" s="296"/>
      <c r="DQ484" s="296"/>
      <c r="DR484" s="296"/>
      <c r="DS484" s="296"/>
    </row>
    <row r="485" spans="1:123" ht="3.75" customHeight="1">
      <c r="A485" s="456"/>
      <c r="B485" s="456"/>
      <c r="C485" s="456"/>
      <c r="D485" s="456"/>
      <c r="E485" s="456"/>
      <c r="F485" s="456"/>
      <c r="G485" s="456"/>
      <c r="H485" s="456"/>
      <c r="I485" s="456"/>
      <c r="J485" s="456"/>
      <c r="K485" s="456"/>
      <c r="L485" s="456"/>
      <c r="M485" s="456"/>
      <c r="N485" s="456"/>
      <c r="O485" s="456"/>
      <c r="P485" s="456"/>
      <c r="Q485" s="456"/>
      <c r="R485" s="456"/>
      <c r="S485" s="456"/>
      <c r="T485" s="456"/>
      <c r="U485" s="456"/>
      <c r="V485" s="456"/>
      <c r="W485" s="456"/>
      <c r="X485" s="456"/>
      <c r="Y485" s="296"/>
      <c r="Z485" s="296"/>
      <c r="AA485" s="296"/>
      <c r="AB485" s="296"/>
      <c r="AC485" s="296"/>
      <c r="AD485" s="296"/>
      <c r="AE485" s="296"/>
      <c r="AF485" s="296"/>
      <c r="AG485" s="296"/>
      <c r="AH485" s="373"/>
      <c r="AQ485" s="296"/>
      <c r="AR485" s="296"/>
      <c r="AS485" s="296"/>
      <c r="AT485" s="296"/>
      <c r="AU485" s="296"/>
      <c r="AV485" s="296"/>
      <c r="BD485" s="296"/>
      <c r="BE485" s="296"/>
      <c r="BF485" s="296"/>
      <c r="BG485" s="296"/>
      <c r="BH485" s="296"/>
      <c r="BI485" s="296"/>
      <c r="BJ485" s="296"/>
      <c r="BK485" s="296"/>
      <c r="BS485" s="296"/>
      <c r="BT485" s="296"/>
      <c r="BU485" s="296"/>
      <c r="BV485" s="296"/>
      <c r="BW485" s="296"/>
      <c r="BX485" s="296"/>
      <c r="BY485" s="296"/>
      <c r="BZ485" s="296"/>
      <c r="CH485" s="296"/>
      <c r="CI485" s="296"/>
      <c r="CJ485" s="296"/>
      <c r="CK485" s="296"/>
      <c r="CL485" s="296"/>
      <c r="CM485" s="296"/>
      <c r="CN485" s="296"/>
      <c r="CO485" s="296"/>
      <c r="CW485" s="296"/>
      <c r="CX485" s="296"/>
      <c r="CY485" s="296"/>
      <c r="CZ485" s="296"/>
      <c r="DA485" s="296"/>
      <c r="DB485" s="296"/>
      <c r="DC485" s="296"/>
      <c r="DD485" s="296"/>
      <c r="DL485" s="296"/>
      <c r="DM485" s="296"/>
      <c r="DN485" s="296"/>
      <c r="DO485" s="296"/>
      <c r="DP485" s="296"/>
      <c r="DQ485" s="296"/>
      <c r="DR485" s="296"/>
      <c r="DS485" s="296"/>
    </row>
    <row r="486" spans="1:34" ht="18.75">
      <c r="A486" s="527">
        <f>SUM(A487:A499)</f>
        <v>1</v>
      </c>
      <c r="B486" s="1051" t="str">
        <f>IF(A486=12,"Экспертное заключение ГОТОВО к печати","ЭЗ не готово к печати")</f>
        <v>ЭЗ не готово к печати</v>
      </c>
      <c r="C486" s="1051"/>
      <c r="D486" s="1051"/>
      <c r="E486" s="1051"/>
      <c r="F486" s="1051"/>
      <c r="G486" s="1051"/>
      <c r="H486" s="1051"/>
      <c r="I486" s="1051"/>
      <c r="J486" s="1051"/>
      <c r="K486" s="1051"/>
      <c r="L486" s="1051"/>
      <c r="M486" s="1051"/>
      <c r="N486" s="1051"/>
      <c r="O486" s="1051"/>
      <c r="P486" s="1051"/>
      <c r="Q486" s="1051"/>
      <c r="R486" s="1051"/>
      <c r="S486" s="1051"/>
      <c r="T486" s="1051"/>
      <c r="U486" s="1051"/>
      <c r="V486" s="1051"/>
      <c r="W486" s="528"/>
      <c r="X486" s="456"/>
      <c r="Y486" s="296"/>
      <c r="Z486" s="296"/>
      <c r="AA486" s="296"/>
      <c r="AB486" s="296"/>
      <c r="AC486" s="296"/>
      <c r="AD486" s="296"/>
      <c r="AE486" s="296"/>
      <c r="AF486" s="296"/>
      <c r="AG486" s="296"/>
      <c r="AH486" s="373"/>
    </row>
    <row r="487" spans="1:34" ht="15">
      <c r="A487" s="457">
        <f>IF(M487=" + ",1,0)</f>
        <v>0</v>
      </c>
      <c r="B487" s="458" t="s">
        <v>9</v>
      </c>
      <c r="C487" s="458"/>
      <c r="D487" s="458"/>
      <c r="E487" s="458"/>
      <c r="F487" s="458"/>
      <c r="G487" s="458"/>
      <c r="H487" s="458"/>
      <c r="I487" s="458"/>
      <c r="J487" s="458"/>
      <c r="K487" s="458"/>
      <c r="L487" s="458"/>
      <c r="M487" s="459" t="str">
        <f>IF(FIO&lt;&gt;""," + ","не заполнено")</f>
        <v>не заполнено</v>
      </c>
      <c r="N487" s="458"/>
      <c r="O487" s="458"/>
      <c r="P487" s="458"/>
      <c r="Q487" s="458"/>
      <c r="R487" s="458"/>
      <c r="S487" s="458"/>
      <c r="T487" s="458"/>
      <c r="U487" s="458"/>
      <c r="V487" s="458"/>
      <c r="W487" s="458"/>
      <c r="X487" s="456"/>
      <c r="Y487" s="296"/>
      <c r="Z487" s="296"/>
      <c r="AA487" s="296"/>
      <c r="AB487" s="296"/>
      <c r="AC487" s="296"/>
      <c r="AD487" s="296"/>
      <c r="AE487" s="296"/>
      <c r="AF487" s="296"/>
      <c r="AG487" s="296"/>
      <c r="AH487" s="373"/>
    </row>
    <row r="488" spans="1:34" ht="15">
      <c r="A488" s="457">
        <f aca="true" t="shared" si="1" ref="A488:A499">IF(M488=" + ",1,0)</f>
        <v>0</v>
      </c>
      <c r="B488" s="460" t="s">
        <v>11</v>
      </c>
      <c r="C488" s="460"/>
      <c r="D488" s="460"/>
      <c r="E488" s="460"/>
      <c r="F488" s="460"/>
      <c r="G488" s="460"/>
      <c r="H488" s="460"/>
      <c r="I488" s="460"/>
      <c r="J488" s="460"/>
      <c r="K488" s="460"/>
      <c r="L488" s="460"/>
      <c r="M488" s="461" t="str">
        <f>IF(C48&lt;&gt;""," + ","не заполнено")</f>
        <v>не заполнено</v>
      </c>
      <c r="N488" s="460"/>
      <c r="O488" s="460"/>
      <c r="P488" s="460"/>
      <c r="Q488" s="460"/>
      <c r="R488" s="460"/>
      <c r="S488" s="460"/>
      <c r="T488" s="460"/>
      <c r="U488" s="460"/>
      <c r="V488" s="460"/>
      <c r="W488" s="460"/>
      <c r="X488" s="456"/>
      <c r="Y488" s="296"/>
      <c r="Z488" s="296"/>
      <c r="AA488" s="296"/>
      <c r="AB488" s="296"/>
      <c r="AC488" s="296"/>
      <c r="AD488" s="296"/>
      <c r="AE488" s="296"/>
      <c r="AF488" s="296"/>
      <c r="AG488" s="296"/>
      <c r="AH488" s="373"/>
    </row>
    <row r="489" spans="1:34" ht="15">
      <c r="A489" s="457">
        <f t="shared" si="1"/>
        <v>0</v>
      </c>
      <c r="B489" s="460" t="s">
        <v>10</v>
      </c>
      <c r="C489" s="460"/>
      <c r="D489" s="460"/>
      <c r="E489" s="460"/>
      <c r="F489" s="460"/>
      <c r="G489" s="460"/>
      <c r="H489" s="460"/>
      <c r="I489" s="460"/>
      <c r="J489" s="460"/>
      <c r="K489" s="460"/>
      <c r="L489" s="460"/>
      <c r="M489" s="461" t="str">
        <f>IF(E51&lt;&gt;""," + ","не заполнено")</f>
        <v>не заполнено</v>
      </c>
      <c r="N489" s="460"/>
      <c r="O489" s="460"/>
      <c r="P489" s="460"/>
      <c r="Q489" s="460"/>
      <c r="R489" s="460"/>
      <c r="S489" s="460"/>
      <c r="T489" s="460"/>
      <c r="U489" s="460"/>
      <c r="V489" s="460"/>
      <c r="W489" s="460"/>
      <c r="X489" s="456"/>
      <c r="Y489" s="296"/>
      <c r="Z489" s="296"/>
      <c r="AA489" s="296"/>
      <c r="AB489" s="296"/>
      <c r="AC489" s="296"/>
      <c r="AD489" s="296"/>
      <c r="AE489" s="296"/>
      <c r="AF489" s="296"/>
      <c r="AG489" s="296"/>
      <c r="AH489" s="373"/>
    </row>
    <row r="490" spans="1:34" ht="15">
      <c r="A490" s="457">
        <f t="shared" si="1"/>
        <v>0</v>
      </c>
      <c r="B490" s="460" t="s">
        <v>12</v>
      </c>
      <c r="C490" s="460"/>
      <c r="D490" s="460"/>
      <c r="E490" s="460"/>
      <c r="F490" s="460"/>
      <c r="G490" s="460"/>
      <c r="H490" s="460"/>
      <c r="I490" s="460"/>
      <c r="J490" s="460"/>
      <c r="K490" s="460"/>
      <c r="L490" s="460"/>
      <c r="M490" s="461" t="str">
        <f>IF(D52&lt;&gt;""," + ","не заполнено")</f>
        <v>не заполнено</v>
      </c>
      <c r="N490" s="460"/>
      <c r="O490" s="460"/>
      <c r="P490" s="460"/>
      <c r="Q490" s="460"/>
      <c r="R490" s="460"/>
      <c r="S490" s="460"/>
      <c r="T490" s="460"/>
      <c r="U490" s="460"/>
      <c r="V490" s="460"/>
      <c r="W490" s="460"/>
      <c r="X490" s="456"/>
      <c r="Y490" s="296"/>
      <c r="Z490" s="296"/>
      <c r="AA490" s="296"/>
      <c r="AB490" s="296"/>
      <c r="AC490" s="296"/>
      <c r="AD490" s="296"/>
      <c r="AE490" s="296"/>
      <c r="AF490" s="296"/>
      <c r="AG490" s="296"/>
      <c r="AH490" s="373"/>
    </row>
    <row r="491" spans="1:34" ht="15">
      <c r="A491" s="457">
        <f t="shared" si="1"/>
        <v>1</v>
      </c>
      <c r="B491" s="460" t="s">
        <v>14</v>
      </c>
      <c r="C491" s="460"/>
      <c r="D491" s="460"/>
      <c r="E491" s="460"/>
      <c r="F491" s="460"/>
      <c r="G491" s="460"/>
      <c r="H491" s="460"/>
      <c r="I491" s="460"/>
      <c r="J491" s="460"/>
      <c r="K491" s="460"/>
      <c r="L491" s="460"/>
      <c r="M491" s="461" t="str">
        <f>IF(E54&gt;0," + ","не заполнено")</f>
        <v> + </v>
      </c>
      <c r="N491" s="460"/>
      <c r="O491" s="460"/>
      <c r="P491" s="460"/>
      <c r="Q491" s="460"/>
      <c r="R491" s="460"/>
      <c r="S491" s="460"/>
      <c r="T491" s="460"/>
      <c r="U491" s="460"/>
      <c r="V491" s="460"/>
      <c r="W491" s="460"/>
      <c r="X491" s="456"/>
      <c r="Y491" s="296"/>
      <c r="Z491" s="296"/>
      <c r="AA491" s="296"/>
      <c r="AB491" s="296"/>
      <c r="AC491" s="296"/>
      <c r="AD491" s="296"/>
      <c r="AE491" s="296"/>
      <c r="AF491" s="296"/>
      <c r="AG491" s="296"/>
      <c r="AH491" s="373"/>
    </row>
    <row r="492" spans="1:34" ht="15">
      <c r="A492" s="457">
        <f t="shared" si="1"/>
        <v>0</v>
      </c>
      <c r="B492" s="460" t="s">
        <v>15</v>
      </c>
      <c r="C492" s="460"/>
      <c r="D492" s="460"/>
      <c r="E492" s="460"/>
      <c r="F492" s="460"/>
      <c r="G492" s="460"/>
      <c r="H492" s="460"/>
      <c r="I492" s="460"/>
      <c r="J492" s="460"/>
      <c r="K492" s="460"/>
      <c r="L492" s="460"/>
      <c r="M492" s="461" t="str">
        <f>IF(G55&lt;&gt;""," + ","не заполнено")</f>
        <v>не заполнено</v>
      </c>
      <c r="N492" s="460"/>
      <c r="O492" s="460"/>
      <c r="P492" s="460"/>
      <c r="Q492" s="460"/>
      <c r="R492" s="460"/>
      <c r="S492" s="460"/>
      <c r="T492" s="460"/>
      <c r="U492" s="460"/>
      <c r="V492" s="460"/>
      <c r="W492" s="460"/>
      <c r="X492" s="456"/>
      <c r="Y492" s="296"/>
      <c r="Z492" s="296"/>
      <c r="AA492" s="296"/>
      <c r="AB492" s="296"/>
      <c r="AC492" s="296"/>
      <c r="AD492" s="296"/>
      <c r="AE492" s="296"/>
      <c r="AF492" s="296"/>
      <c r="AG492" s="296"/>
      <c r="AH492" s="373"/>
    </row>
    <row r="493" spans="1:34" ht="15">
      <c r="A493" s="457">
        <f t="shared" si="1"/>
        <v>0</v>
      </c>
      <c r="B493" s="460" t="s">
        <v>16</v>
      </c>
      <c r="C493" s="460"/>
      <c r="D493" s="460"/>
      <c r="E493" s="460"/>
      <c r="F493" s="460"/>
      <c r="G493" s="460"/>
      <c r="H493" s="460"/>
      <c r="I493" s="460"/>
      <c r="J493" s="460"/>
      <c r="K493" s="460"/>
      <c r="L493" s="460"/>
      <c r="M493" s="461" t="str">
        <f>IF(P55&lt;&gt;""," + ",IF(G55="нет"," + ","не заполнено"))</f>
        <v>не заполнено</v>
      </c>
      <c r="N493" s="460"/>
      <c r="O493" s="460"/>
      <c r="P493" s="460"/>
      <c r="Q493" s="460"/>
      <c r="R493" s="460"/>
      <c r="S493" s="460"/>
      <c r="T493" s="460"/>
      <c r="U493" s="460"/>
      <c r="V493" s="460"/>
      <c r="W493" s="460"/>
      <c r="X493" s="456"/>
      <c r="Y493" s="296"/>
      <c r="Z493" s="296"/>
      <c r="AA493" s="296"/>
      <c r="AB493" s="296"/>
      <c r="AC493" s="296"/>
      <c r="AD493" s="296"/>
      <c r="AE493" s="296"/>
      <c r="AF493" s="296"/>
      <c r="AG493" s="296"/>
      <c r="AH493" s="373"/>
    </row>
    <row r="494" spans="1:34" ht="15">
      <c r="A494" s="457">
        <f t="shared" si="1"/>
        <v>0</v>
      </c>
      <c r="B494" s="460" t="s">
        <v>18</v>
      </c>
      <c r="C494" s="460"/>
      <c r="D494" s="460"/>
      <c r="E494" s="460"/>
      <c r="F494" s="460"/>
      <c r="G494" s="460"/>
      <c r="H494" s="460"/>
      <c r="I494" s="460"/>
      <c r="J494" s="460"/>
      <c r="K494" s="460"/>
      <c r="L494" s="460"/>
      <c r="M494" s="461" t="str">
        <f>IF(z_kateg&lt;&gt;""," + "," - ")</f>
        <v> - </v>
      </c>
      <c r="N494" s="665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94" s="460"/>
      <c r="P494" s="460"/>
      <c r="Q494" s="460"/>
      <c r="R494" s="460"/>
      <c r="S494" s="460"/>
      <c r="T494" s="460"/>
      <c r="U494" s="460"/>
      <c r="V494" s="460"/>
      <c r="W494" s="460"/>
      <c r="X494" s="456"/>
      <c r="Y494" s="296"/>
      <c r="Z494" s="296"/>
      <c r="AA494" s="296"/>
      <c r="AB494" s="296"/>
      <c r="AC494" s="296"/>
      <c r="AD494" s="296"/>
      <c r="AE494" s="296"/>
      <c r="AF494" s="296"/>
      <c r="AG494" s="296"/>
      <c r="AH494" s="373"/>
    </row>
    <row r="495" spans="1:34" ht="15">
      <c r="A495" s="457">
        <f t="shared" si="1"/>
        <v>0</v>
      </c>
      <c r="B495" s="460" t="s">
        <v>238</v>
      </c>
      <c r="C495" s="460"/>
      <c r="D495" s="460"/>
      <c r="E495" s="460"/>
      <c r="F495" s="460"/>
      <c r="G495" s="460"/>
      <c r="H495" s="460"/>
      <c r="I495" s="460"/>
      <c r="J495" s="460"/>
      <c r="K495" s="460"/>
      <c r="L495" s="460"/>
      <c r="M495" s="461" t="str">
        <f>IF(H92&lt;&gt;""," + ","не заполнено")</f>
        <v>не заполнено</v>
      </c>
      <c r="N495" s="460"/>
      <c r="O495" s="460"/>
      <c r="P495" s="460"/>
      <c r="Q495" s="460"/>
      <c r="R495" s="460"/>
      <c r="S495" s="460"/>
      <c r="T495" s="460"/>
      <c r="U495" s="460"/>
      <c r="V495" s="460"/>
      <c r="W495" s="460"/>
      <c r="X495" s="456"/>
      <c r="Y495" s="296"/>
      <c r="Z495" s="296"/>
      <c r="AA495" s="296"/>
      <c r="AB495" s="296"/>
      <c r="AC495" s="296"/>
      <c r="AD495" s="296"/>
      <c r="AE495" s="296"/>
      <c r="AF495" s="296"/>
      <c r="AG495" s="296"/>
      <c r="AH495" s="373"/>
    </row>
    <row r="496" spans="1:34" ht="15">
      <c r="A496" s="457">
        <f t="shared" si="1"/>
        <v>0</v>
      </c>
      <c r="B496" s="460" t="s">
        <v>255</v>
      </c>
      <c r="C496" s="460"/>
      <c r="D496" s="460"/>
      <c r="E496" s="460"/>
      <c r="F496" s="460"/>
      <c r="G496" s="460"/>
      <c r="H496" s="460"/>
      <c r="I496" s="460"/>
      <c r="J496" s="460"/>
      <c r="K496" s="462" t="s">
        <v>53</v>
      </c>
      <c r="L496" s="460"/>
      <c r="M496" s="461" t="str">
        <f>IF(H94&lt;&gt;""," + ","не заполнено")</f>
        <v>не заполнено</v>
      </c>
      <c r="N496" s="460"/>
      <c r="O496" s="460"/>
      <c r="P496" s="460"/>
      <c r="Q496" s="460"/>
      <c r="R496" s="460"/>
      <c r="S496" s="460"/>
      <c r="T496" s="460"/>
      <c r="U496" s="460"/>
      <c r="V496" s="460"/>
      <c r="W496" s="460"/>
      <c r="X496" s="456"/>
      <c r="Y496" s="296"/>
      <c r="Z496" s="296"/>
      <c r="AA496" s="296"/>
      <c r="AB496" s="296"/>
      <c r="AC496" s="296"/>
      <c r="AD496" s="296"/>
      <c r="AE496" s="296"/>
      <c r="AF496" s="296"/>
      <c r="AG496" s="296"/>
      <c r="AH496" s="373"/>
    </row>
    <row r="497" spans="1:34" ht="15">
      <c r="A497" s="457">
        <f t="shared" si="1"/>
        <v>0</v>
      </c>
      <c r="B497" s="460"/>
      <c r="C497" s="460"/>
      <c r="D497" s="460"/>
      <c r="E497" s="460"/>
      <c r="F497" s="460"/>
      <c r="G497" s="460"/>
      <c r="H497" s="460"/>
      <c r="I497" s="460"/>
      <c r="J497" s="460"/>
      <c r="K497" s="462" t="s">
        <v>256</v>
      </c>
      <c r="L497" s="460"/>
      <c r="M497" s="461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97" s="460"/>
      <c r="O497" s="460"/>
      <c r="P497" s="460"/>
      <c r="Q497" s="460"/>
      <c r="R497" s="460"/>
      <c r="S497" s="460"/>
      <c r="T497" s="460"/>
      <c r="U497" s="460"/>
      <c r="V497" s="460"/>
      <c r="W497" s="460"/>
      <c r="X497" s="456"/>
      <c r="Y497" s="296"/>
      <c r="Z497" s="296"/>
      <c r="AA497" s="296"/>
      <c r="AB497" s="296"/>
      <c r="AC497" s="296"/>
      <c r="AD497" s="296"/>
      <c r="AE497" s="296"/>
      <c r="AF497" s="296"/>
      <c r="AG497" s="296"/>
      <c r="AH497" s="373"/>
    </row>
    <row r="498" spans="1:34" ht="2.25" customHeight="1">
      <c r="A498" s="457">
        <f>IF(M498=" + ",1,0)</f>
        <v>0</v>
      </c>
      <c r="B498" s="460"/>
      <c r="C498" s="460"/>
      <c r="D498" s="460"/>
      <c r="E498" s="460"/>
      <c r="F498" s="460"/>
      <c r="G498" s="460"/>
      <c r="H498" s="460"/>
      <c r="I498" s="460"/>
      <c r="J498" s="460"/>
      <c r="K498" s="460"/>
      <c r="L498" s="460"/>
      <c r="M498" s="463"/>
      <c r="N498" s="460"/>
      <c r="O498" s="460"/>
      <c r="P498" s="460"/>
      <c r="Q498" s="460"/>
      <c r="R498" s="460"/>
      <c r="S498" s="460"/>
      <c r="T498" s="460"/>
      <c r="U498" s="460"/>
      <c r="V498" s="460"/>
      <c r="W498" s="460"/>
      <c r="X498" s="456"/>
      <c r="Y498" s="296"/>
      <c r="Z498" s="296"/>
      <c r="AA498" s="296"/>
      <c r="AB498" s="296"/>
      <c r="AC498" s="296"/>
      <c r="AD498" s="296"/>
      <c r="AE498" s="296"/>
      <c r="AF498" s="296"/>
      <c r="AG498" s="296"/>
      <c r="AH498" s="373"/>
    </row>
    <row r="499" spans="1:34" ht="15">
      <c r="A499" s="457">
        <f t="shared" si="1"/>
        <v>0</v>
      </c>
      <c r="B499" s="460" t="s">
        <v>257</v>
      </c>
      <c r="C499" s="460"/>
      <c r="D499" s="460"/>
      <c r="E499" s="460"/>
      <c r="F499" s="460"/>
      <c r="G499" s="460"/>
      <c r="H499" s="460"/>
      <c r="I499" s="460"/>
      <c r="J499" s="460"/>
      <c r="K499" s="460"/>
      <c r="L499" s="460"/>
      <c r="M499" s="461" t="str">
        <f>IF(Всего&lt;&gt;""," + ","не заполнено - подсчет автоматический")</f>
        <v>не заполнено - подсчет автоматический</v>
      </c>
      <c r="N499" s="460"/>
      <c r="O499" s="460"/>
      <c r="P499" s="460"/>
      <c r="Q499" s="460"/>
      <c r="R499" s="460"/>
      <c r="S499" s="460"/>
      <c r="T499" s="460"/>
      <c r="U499" s="460"/>
      <c r="V499" s="460"/>
      <c r="W499" s="460"/>
      <c r="X499" s="456"/>
      <c r="Y499" s="296"/>
      <c r="Z499" s="296"/>
      <c r="AA499" s="296"/>
      <c r="AB499" s="296"/>
      <c r="AC499" s="296"/>
      <c r="AD499" s="296"/>
      <c r="AE499" s="296"/>
      <c r="AF499" s="296"/>
      <c r="AG499" s="296"/>
      <c r="AH499" s="373"/>
    </row>
    <row r="500" spans="1:34" ht="6" customHeight="1">
      <c r="A500" s="457"/>
      <c r="B500" s="464"/>
      <c r="C500" s="464"/>
      <c r="D500" s="464"/>
      <c r="E500" s="464"/>
      <c r="F500" s="464"/>
      <c r="G500" s="464"/>
      <c r="H500" s="464"/>
      <c r="I500" s="464"/>
      <c r="J500" s="464"/>
      <c r="K500" s="464"/>
      <c r="L500" s="464"/>
      <c r="M500" s="465"/>
      <c r="N500" s="464"/>
      <c r="O500" s="464"/>
      <c r="P500" s="464"/>
      <c r="Q500" s="464"/>
      <c r="R500" s="464"/>
      <c r="S500" s="464"/>
      <c r="T500" s="464"/>
      <c r="U500" s="464"/>
      <c r="V500" s="464"/>
      <c r="W500" s="464"/>
      <c r="X500" s="456"/>
      <c r="Y500" s="296"/>
      <c r="Z500" s="296"/>
      <c r="AA500" s="296"/>
      <c r="AB500" s="296"/>
      <c r="AC500" s="296"/>
      <c r="AD500" s="296"/>
      <c r="AE500" s="296"/>
      <c r="AF500" s="296"/>
      <c r="AG500" s="296"/>
      <c r="AH500" s="373"/>
    </row>
    <row r="501" spans="1:123" ht="12.75">
      <c r="A501" s="466"/>
      <c r="B501" s="467" t="str">
        <f>IF($B$486="Экспертное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01" s="373"/>
      <c r="D501" s="373"/>
      <c r="E501" s="373"/>
      <c r="F501" s="373"/>
      <c r="G501" s="373"/>
      <c r="H501" s="373"/>
      <c r="I501" s="373"/>
      <c r="J501" s="373"/>
      <c r="K501" s="373"/>
      <c r="L501" s="373"/>
      <c r="M501" s="373"/>
      <c r="N501" s="373"/>
      <c r="O501" s="373"/>
      <c r="P501" s="373"/>
      <c r="Q501" s="373"/>
      <c r="R501" s="373"/>
      <c r="S501" s="373"/>
      <c r="T501" s="373"/>
      <c r="U501" s="373"/>
      <c r="V501" s="373"/>
      <c r="W501" s="373"/>
      <c r="X501" s="456"/>
      <c r="Y501" s="296"/>
      <c r="Z501" s="296"/>
      <c r="AA501" s="296"/>
      <c r="AB501" s="296"/>
      <c r="AC501" s="296"/>
      <c r="AD501" s="296"/>
      <c r="AE501" s="296"/>
      <c r="AF501" s="296"/>
      <c r="AG501" s="296"/>
      <c r="AH501" s="373"/>
      <c r="AQ501" s="296"/>
      <c r="AR501" s="296"/>
      <c r="AS501" s="296"/>
      <c r="AT501" s="296"/>
      <c r="AU501" s="296"/>
      <c r="AV501" s="296"/>
      <c r="BD501" s="296"/>
      <c r="BE501" s="296"/>
      <c r="BF501" s="296"/>
      <c r="BG501" s="296"/>
      <c r="BH501" s="296"/>
      <c r="BI501" s="296"/>
      <c r="BJ501" s="296"/>
      <c r="BK501" s="296"/>
      <c r="BS501" s="296"/>
      <c r="BT501" s="296"/>
      <c r="BU501" s="296"/>
      <c r="BV501" s="296"/>
      <c r="BW501" s="296"/>
      <c r="BX501" s="296"/>
      <c r="BY501" s="296"/>
      <c r="BZ501" s="296"/>
      <c r="CH501" s="296"/>
      <c r="CI501" s="296"/>
      <c r="CJ501" s="296"/>
      <c r="CK501" s="296"/>
      <c r="CL501" s="296"/>
      <c r="CM501" s="296"/>
      <c r="CN501" s="296"/>
      <c r="CO501" s="296"/>
      <c r="CW501" s="296"/>
      <c r="CX501" s="296"/>
      <c r="CY501" s="296"/>
      <c r="CZ501" s="296"/>
      <c r="DA501" s="296"/>
      <c r="DB501" s="296"/>
      <c r="DC501" s="296"/>
      <c r="DD501" s="296"/>
      <c r="DL501" s="296"/>
      <c r="DM501" s="296"/>
      <c r="DN501" s="296"/>
      <c r="DO501" s="296"/>
      <c r="DP501" s="296"/>
      <c r="DQ501" s="296"/>
      <c r="DR501" s="296"/>
      <c r="DS501" s="296"/>
    </row>
    <row r="502" spans="1:34" ht="12.75">
      <c r="A502" s="466"/>
      <c r="B502" s="467">
        <f>IF($B$486="Экспертное заключение ГОТОВО к печати"," Печать ЭЗ:    меню Файл-Печать   или    комбинация клавиш  CTRL+P. ","")</f>
      </c>
      <c r="C502" s="373"/>
      <c r="D502" s="373"/>
      <c r="E502" s="373"/>
      <c r="F502" s="373"/>
      <c r="G502" s="373"/>
      <c r="H502" s="373"/>
      <c r="I502" s="373"/>
      <c r="J502" s="373"/>
      <c r="K502" s="373"/>
      <c r="L502" s="373"/>
      <c r="M502" s="373"/>
      <c r="N502" s="373"/>
      <c r="O502" s="373"/>
      <c r="P502" s="373"/>
      <c r="Q502" s="373"/>
      <c r="R502" s="373"/>
      <c r="S502" s="373"/>
      <c r="T502" s="373"/>
      <c r="U502" s="373"/>
      <c r="V502" s="373"/>
      <c r="W502" s="373"/>
      <c r="X502" s="45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373"/>
    </row>
    <row r="503" spans="2:34" ht="12.75">
      <c r="B503" s="385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373"/>
    </row>
    <row r="504" spans="1:33" ht="15.75">
      <c r="A504" s="298"/>
      <c r="B504" s="1045" t="s">
        <v>258</v>
      </c>
      <c r="C504" s="1046"/>
      <c r="D504" s="1046"/>
      <c r="E504" s="1046"/>
      <c r="F504" s="1046"/>
      <c r="G504" s="1046"/>
      <c r="H504" s="1046"/>
      <c r="I504" s="1046"/>
      <c r="J504" s="1046"/>
      <c r="K504" s="1046"/>
      <c r="L504" s="1046"/>
      <c r="M504" s="1046"/>
      <c r="N504" s="1046"/>
      <c r="O504" s="1046"/>
      <c r="P504" s="1046"/>
      <c r="Q504" s="1046"/>
      <c r="R504" s="1046"/>
      <c r="S504" s="1046"/>
      <c r="T504" s="1046"/>
      <c r="U504" s="1046"/>
      <c r="V504" s="1047"/>
      <c r="W504" s="298"/>
      <c r="Y504" s="296"/>
      <c r="Z504" s="296"/>
      <c r="AA504" s="296"/>
      <c r="AB504" s="296"/>
      <c r="AC504" s="296"/>
      <c r="AD504" s="296"/>
      <c r="AE504" s="296"/>
      <c r="AF504" s="296"/>
      <c r="AG504" s="296"/>
    </row>
    <row r="505" spans="23:33" ht="4.5" customHeight="1">
      <c r="W505" s="257"/>
      <c r="Y505" s="296"/>
      <c r="Z505" s="296"/>
      <c r="AA505" s="296"/>
      <c r="AB505" s="296"/>
      <c r="AC505" s="296"/>
      <c r="AD505" s="296"/>
      <c r="AE505" s="296"/>
      <c r="AF505" s="296"/>
      <c r="AG505" s="296"/>
    </row>
    <row r="506" spans="1:33" ht="15.75">
      <c r="A506" s="298"/>
      <c r="B506" s="1045" t="s">
        <v>259</v>
      </c>
      <c r="C506" s="1046"/>
      <c r="D506" s="1046"/>
      <c r="E506" s="1046"/>
      <c r="F506" s="1046"/>
      <c r="G506" s="1046"/>
      <c r="H506" s="1046"/>
      <c r="I506" s="1046"/>
      <c r="J506" s="1046"/>
      <c r="K506" s="1046"/>
      <c r="L506" s="1046"/>
      <c r="M506" s="1046"/>
      <c r="N506" s="1046"/>
      <c r="O506" s="1046"/>
      <c r="P506" s="1046"/>
      <c r="Q506" s="1046"/>
      <c r="R506" s="1046"/>
      <c r="S506" s="1046"/>
      <c r="T506" s="1046"/>
      <c r="U506" s="1046"/>
      <c r="V506" s="1047"/>
      <c r="W506" s="298"/>
      <c r="Y506" s="296"/>
      <c r="Z506" s="296"/>
      <c r="AA506" s="296"/>
      <c r="AB506" s="296"/>
      <c r="AC506" s="296"/>
      <c r="AD506" s="296"/>
      <c r="AE506" s="296"/>
      <c r="AF506" s="296"/>
      <c r="AG506" s="296"/>
    </row>
    <row r="507" spans="23:33" ht="12.75">
      <c r="W507" s="257"/>
      <c r="Y507" s="296"/>
      <c r="Z507" s="296"/>
      <c r="AA507" s="296"/>
      <c r="AB507" s="296"/>
      <c r="AC507" s="296"/>
      <c r="AD507" s="296"/>
      <c r="AE507" s="296"/>
      <c r="AF507" s="296"/>
      <c r="AG507" s="296"/>
    </row>
    <row r="508" spans="25:33" ht="12.75">
      <c r="Y508" s="296"/>
      <c r="Z508" s="296"/>
      <c r="AA508" s="296"/>
      <c r="AB508" s="296"/>
      <c r="AC508" s="296"/>
      <c r="AD508" s="296"/>
      <c r="AE508" s="296"/>
      <c r="AF508" s="296"/>
      <c r="AG508" s="296"/>
    </row>
    <row r="509" spans="25:33" ht="12.75">
      <c r="Y509" s="296"/>
      <c r="Z509" s="296"/>
      <c r="AA509" s="296"/>
      <c r="AB509" s="296"/>
      <c r="AC509" s="296"/>
      <c r="AD509" s="296"/>
      <c r="AE509" s="296"/>
      <c r="AF509" s="296"/>
      <c r="AG509" s="296"/>
    </row>
    <row r="510" spans="25:33" ht="12.75">
      <c r="Y510" s="296"/>
      <c r="Z510" s="296"/>
      <c r="AA510" s="296"/>
      <c r="AB510" s="296"/>
      <c r="AC510" s="296"/>
      <c r="AD510" s="296"/>
      <c r="AE510" s="296"/>
      <c r="AF510" s="296"/>
      <c r="AG510" s="296"/>
    </row>
  </sheetData>
  <sheetProtection password="CF6C" sheet="1" objects="1" scenarios="1"/>
  <mergeCells count="618">
    <mergeCell ref="B339:E340"/>
    <mergeCell ref="F339:H340"/>
    <mergeCell ref="I339:K340"/>
    <mergeCell ref="L339:O340"/>
    <mergeCell ref="P339:S340"/>
    <mergeCell ref="T339:W340"/>
    <mergeCell ref="I337:K338"/>
    <mergeCell ref="L337:O337"/>
    <mergeCell ref="P337:S337"/>
    <mergeCell ref="L338:O338"/>
    <mergeCell ref="P338:S338"/>
    <mergeCell ref="T338:W338"/>
    <mergeCell ref="I322:M323"/>
    <mergeCell ref="N322:R323"/>
    <mergeCell ref="S322:W323"/>
    <mergeCell ref="A334:A340"/>
    <mergeCell ref="B334:E338"/>
    <mergeCell ref="F334:H336"/>
    <mergeCell ref="I334:K336"/>
    <mergeCell ref="L334:O336"/>
    <mergeCell ref="P334:S336"/>
    <mergeCell ref="F337:H338"/>
    <mergeCell ref="I318:W318"/>
    <mergeCell ref="I319:M319"/>
    <mergeCell ref="N319:R319"/>
    <mergeCell ref="I251:M252"/>
    <mergeCell ref="I320:M321"/>
    <mergeCell ref="N320:R321"/>
    <mergeCell ref="S320:W321"/>
    <mergeCell ref="N251:R252"/>
    <mergeCell ref="S251:W252"/>
    <mergeCell ref="B300:J303"/>
    <mergeCell ref="A242:A246"/>
    <mergeCell ref="B242:H246"/>
    <mergeCell ref="I242:M244"/>
    <mergeCell ref="N242:R244"/>
    <mergeCell ref="S242:W244"/>
    <mergeCell ref="I245:M246"/>
    <mergeCell ref="N245:R246"/>
    <mergeCell ref="S245:W246"/>
    <mergeCell ref="A215:A225"/>
    <mergeCell ref="B215:W217"/>
    <mergeCell ref="B218:W222"/>
    <mergeCell ref="B223:W225"/>
    <mergeCell ref="A237:A241"/>
    <mergeCell ref="B237:H241"/>
    <mergeCell ref="I237:M239"/>
    <mergeCell ref="N237:R239"/>
    <mergeCell ref="S237:W239"/>
    <mergeCell ref="B229:H232"/>
    <mergeCell ref="K182:M184"/>
    <mergeCell ref="N182:P184"/>
    <mergeCell ref="Q182:S184"/>
    <mergeCell ref="T182:W184"/>
    <mergeCell ref="F185:G186"/>
    <mergeCell ref="H185:J186"/>
    <mergeCell ref="K185:M186"/>
    <mergeCell ref="N185:P186"/>
    <mergeCell ref="Q185:S186"/>
    <mergeCell ref="T185:W186"/>
    <mergeCell ref="Q175:S177"/>
    <mergeCell ref="T175:W177"/>
    <mergeCell ref="H178:J181"/>
    <mergeCell ref="K178:M181"/>
    <mergeCell ref="N178:P181"/>
    <mergeCell ref="Q178:S181"/>
    <mergeCell ref="T178:W181"/>
    <mergeCell ref="A175:A186"/>
    <mergeCell ref="B175:E180"/>
    <mergeCell ref="F175:G180"/>
    <mergeCell ref="H175:J177"/>
    <mergeCell ref="K175:M177"/>
    <mergeCell ref="N175:P177"/>
    <mergeCell ref="B181:E181"/>
    <mergeCell ref="F181:G184"/>
    <mergeCell ref="B182:E186"/>
    <mergeCell ref="H182:J184"/>
    <mergeCell ref="A172:A174"/>
    <mergeCell ref="B172:E174"/>
    <mergeCell ref="F172:W172"/>
    <mergeCell ref="F173:W173"/>
    <mergeCell ref="F174:G174"/>
    <mergeCell ref="H174:J174"/>
    <mergeCell ref="K174:M174"/>
    <mergeCell ref="N174:P174"/>
    <mergeCell ref="Q174:S174"/>
    <mergeCell ref="T174:W174"/>
    <mergeCell ref="H466:S466"/>
    <mergeCell ref="P418:T419"/>
    <mergeCell ref="S319:W319"/>
    <mergeCell ref="A376:A378"/>
    <mergeCell ref="B376:E378"/>
    <mergeCell ref="F376:W376"/>
    <mergeCell ref="F377:W377"/>
    <mergeCell ref="F378:G378"/>
    <mergeCell ref="H378:K378"/>
    <mergeCell ref="L378:O378"/>
    <mergeCell ref="U411:W412"/>
    <mergeCell ref="U413:W417"/>
    <mergeCell ref="U418:W419"/>
    <mergeCell ref="P410:T410"/>
    <mergeCell ref="I327:K329"/>
    <mergeCell ref="B304:J306"/>
    <mergeCell ref="B347:E347"/>
    <mergeCell ref="K418:O419"/>
    <mergeCell ref="K414:O415"/>
    <mergeCell ref="P378:S378"/>
    <mergeCell ref="H411:J413"/>
    <mergeCell ref="K411:O413"/>
    <mergeCell ref="P411:T413"/>
    <mergeCell ref="H414:J417"/>
    <mergeCell ref="B418:E419"/>
    <mergeCell ref="F418:G419"/>
    <mergeCell ref="H418:J419"/>
    <mergeCell ref="P414:T415"/>
    <mergeCell ref="K416:O417"/>
    <mergeCell ref="P416:T417"/>
    <mergeCell ref="A408:A410"/>
    <mergeCell ref="B408:E410"/>
    <mergeCell ref="F408:W408"/>
    <mergeCell ref="F409:W409"/>
    <mergeCell ref="F410:G410"/>
    <mergeCell ref="H410:J410"/>
    <mergeCell ref="T378:W378"/>
    <mergeCell ref="A379:A385"/>
    <mergeCell ref="B379:E383"/>
    <mergeCell ref="F379:G381"/>
    <mergeCell ref="H379:K381"/>
    <mergeCell ref="L379:O381"/>
    <mergeCell ref="P379:S381"/>
    <mergeCell ref="T379:W381"/>
    <mergeCell ref="F382:G383"/>
    <mergeCell ref="A284:A288"/>
    <mergeCell ref="B324:E326"/>
    <mergeCell ref="I326:K326"/>
    <mergeCell ref="F326:H326"/>
    <mergeCell ref="A320:A323"/>
    <mergeCell ref="B320:H323"/>
    <mergeCell ref="A317:A319"/>
    <mergeCell ref="B317:H319"/>
    <mergeCell ref="I317:W317"/>
    <mergeCell ref="F325:W325"/>
    <mergeCell ref="A258:A262"/>
    <mergeCell ref="A263:A269"/>
    <mergeCell ref="K301:W301"/>
    <mergeCell ref="B341:E346"/>
    <mergeCell ref="A327:A333"/>
    <mergeCell ref="A341:A347"/>
    <mergeCell ref="B327:E332"/>
    <mergeCell ref="B333:E333"/>
    <mergeCell ref="F332:H333"/>
    <mergeCell ref="F324:W324"/>
    <mergeCell ref="F327:H329"/>
    <mergeCell ref="F330:H331"/>
    <mergeCell ref="P332:S333"/>
    <mergeCell ref="I330:K331"/>
    <mergeCell ref="I332:K333"/>
    <mergeCell ref="T326:W326"/>
    <mergeCell ref="L331:O331"/>
    <mergeCell ref="P330:S330"/>
    <mergeCell ref="T330:W330"/>
    <mergeCell ref="T332:W333"/>
    <mergeCell ref="F346:H347"/>
    <mergeCell ref="I346:K347"/>
    <mergeCell ref="I341:K343"/>
    <mergeCell ref="I344:K345"/>
    <mergeCell ref="F341:H343"/>
    <mergeCell ref="F344:H345"/>
    <mergeCell ref="I355:O356"/>
    <mergeCell ref="A348:A350"/>
    <mergeCell ref="B348:E350"/>
    <mergeCell ref="F348:W348"/>
    <mergeCell ref="F349:W349"/>
    <mergeCell ref="P350:W350"/>
    <mergeCell ref="F350:H350"/>
    <mergeCell ref="I350:O350"/>
    <mergeCell ref="I363:K364"/>
    <mergeCell ref="F363:H364"/>
    <mergeCell ref="A351:A356"/>
    <mergeCell ref="B351:E354"/>
    <mergeCell ref="P351:W354"/>
    <mergeCell ref="B355:E356"/>
    <mergeCell ref="P355:W356"/>
    <mergeCell ref="F351:H354"/>
    <mergeCell ref="F355:H356"/>
    <mergeCell ref="I351:O354"/>
    <mergeCell ref="B368:H373"/>
    <mergeCell ref="T371:W372"/>
    <mergeCell ref="T367:W367"/>
    <mergeCell ref="L368:O370"/>
    <mergeCell ref="T368:W370"/>
    <mergeCell ref="L373:O373"/>
    <mergeCell ref="A368:A375"/>
    <mergeCell ref="B374:H375"/>
    <mergeCell ref="A360:A364"/>
    <mergeCell ref="A365:A367"/>
    <mergeCell ref="L367:O367"/>
    <mergeCell ref="P367:S367"/>
    <mergeCell ref="I367:K367"/>
    <mergeCell ref="I368:K370"/>
    <mergeCell ref="I371:K373"/>
    <mergeCell ref="I365:W365"/>
    <mergeCell ref="B486:V486"/>
    <mergeCell ref="B445:J445"/>
    <mergeCell ref="B483:W484"/>
    <mergeCell ref="L459:O460"/>
    <mergeCell ref="P459:S460"/>
    <mergeCell ref="T459:W460"/>
    <mergeCell ref="B449:G452"/>
    <mergeCell ref="H467:S467"/>
    <mergeCell ref="B467:G467"/>
    <mergeCell ref="P469:Q469"/>
    <mergeCell ref="A395:A397"/>
    <mergeCell ref="B395:H397"/>
    <mergeCell ref="I395:W395"/>
    <mergeCell ref="I396:W396"/>
    <mergeCell ref="I397:M397"/>
    <mergeCell ref="P451:S452"/>
    <mergeCell ref="T451:W452"/>
    <mergeCell ref="K410:O410"/>
    <mergeCell ref="U410:W410"/>
    <mergeCell ref="A411:A419"/>
    <mergeCell ref="A398:A405"/>
    <mergeCell ref="I398:M400"/>
    <mergeCell ref="N398:R400"/>
    <mergeCell ref="S398:W400"/>
    <mergeCell ref="I401:M401"/>
    <mergeCell ref="N401:R401"/>
    <mergeCell ref="S401:W401"/>
    <mergeCell ref="I403:M403"/>
    <mergeCell ref="N403:R403"/>
    <mergeCell ref="B398:H399"/>
    <mergeCell ref="S404:W405"/>
    <mergeCell ref="I402:M402"/>
    <mergeCell ref="N402:R402"/>
    <mergeCell ref="S397:W397"/>
    <mergeCell ref="N397:R397"/>
    <mergeCell ref="S402:W402"/>
    <mergeCell ref="B411:E417"/>
    <mergeCell ref="F411:G413"/>
    <mergeCell ref="K293:O296"/>
    <mergeCell ref="B506:V506"/>
    <mergeCell ref="T457:W457"/>
    <mergeCell ref="H458:K458"/>
    <mergeCell ref="L458:O458"/>
    <mergeCell ref="P458:S458"/>
    <mergeCell ref="H459:K460"/>
    <mergeCell ref="B504:V504"/>
    <mergeCell ref="B466:G466"/>
    <mergeCell ref="H382:K382"/>
    <mergeCell ref="B400:H400"/>
    <mergeCell ref="B401:H405"/>
    <mergeCell ref="S403:W403"/>
    <mergeCell ref="I404:M405"/>
    <mergeCell ref="N404:R405"/>
    <mergeCell ref="H447:W448"/>
    <mergeCell ref="B447:G448"/>
    <mergeCell ref="L451:O452"/>
    <mergeCell ref="I374:K375"/>
    <mergeCell ref="L382:O382"/>
    <mergeCell ref="P382:S382"/>
    <mergeCell ref="T382:W382"/>
    <mergeCell ref="H383:K383"/>
    <mergeCell ref="A457:A460"/>
    <mergeCell ref="B457:G460"/>
    <mergeCell ref="H457:K457"/>
    <mergeCell ref="L457:O457"/>
    <mergeCell ref="P457:S457"/>
    <mergeCell ref="T453:W453"/>
    <mergeCell ref="T454:W454"/>
    <mergeCell ref="T440:W441"/>
    <mergeCell ref="T458:W458"/>
    <mergeCell ref="H450:K450"/>
    <mergeCell ref="L450:O450"/>
    <mergeCell ref="P450:S450"/>
    <mergeCell ref="T450:W450"/>
    <mergeCell ref="T449:W449"/>
    <mergeCell ref="P449:S449"/>
    <mergeCell ref="K65:L65"/>
    <mergeCell ref="S141:W141"/>
    <mergeCell ref="S142:W142"/>
    <mergeCell ref="E125:N127"/>
    <mergeCell ref="B163:W163"/>
    <mergeCell ref="S143:W143"/>
    <mergeCell ref="S144:W145"/>
    <mergeCell ref="O150:W151"/>
    <mergeCell ref="H98:W98"/>
    <mergeCell ref="H99:W99"/>
    <mergeCell ref="O135:R136"/>
    <mergeCell ref="S152:W152"/>
    <mergeCell ref="O137:R143"/>
    <mergeCell ref="O144:R145"/>
    <mergeCell ref="A110:W110"/>
    <mergeCell ref="F108:I108"/>
    <mergeCell ref="S134:W134"/>
    <mergeCell ref="B125:D127"/>
    <mergeCell ref="B128:D136"/>
    <mergeCell ref="S128:W131"/>
    <mergeCell ref="O153:R158"/>
    <mergeCell ref="B156:N158"/>
    <mergeCell ref="B137:D145"/>
    <mergeCell ref="S137:W140"/>
    <mergeCell ref="B147:W148"/>
    <mergeCell ref="AF395:AF405"/>
    <mergeCell ref="O152:R152"/>
    <mergeCell ref="O159:R160"/>
    <mergeCell ref="P374:S375"/>
    <mergeCell ref="T374:W375"/>
    <mergeCell ref="Y477:AE480"/>
    <mergeCell ref="A477:W480"/>
    <mergeCell ref="B150:N152"/>
    <mergeCell ref="B153:N155"/>
    <mergeCell ref="AE395:AE405"/>
    <mergeCell ref="AA395:AA405"/>
    <mergeCell ref="Y289:Y292"/>
    <mergeCell ref="L383:O383"/>
    <mergeCell ref="P383:S383"/>
    <mergeCell ref="B159:N160"/>
    <mergeCell ref="S132:W132"/>
    <mergeCell ref="T424:W424"/>
    <mergeCell ref="L434:O434"/>
    <mergeCell ref="P434:S434"/>
    <mergeCell ref="P368:S370"/>
    <mergeCell ref="P371:S372"/>
    <mergeCell ref="T373:W373"/>
    <mergeCell ref="L374:O375"/>
    <mergeCell ref="T360:W362"/>
    <mergeCell ref="F357:W357"/>
    <mergeCell ref="L435:O439"/>
    <mergeCell ref="P435:S439"/>
    <mergeCell ref="T435:W439"/>
    <mergeCell ref="T434:W434"/>
    <mergeCell ref="L433:W433"/>
    <mergeCell ref="P424:S424"/>
    <mergeCell ref="P430:S431"/>
    <mergeCell ref="F358:W358"/>
    <mergeCell ref="P373:S373"/>
    <mergeCell ref="L359:O359"/>
    <mergeCell ref="P363:S364"/>
    <mergeCell ref="T363:W364"/>
    <mergeCell ref="T359:W359"/>
    <mergeCell ref="L363:O364"/>
    <mergeCell ref="L371:O372"/>
    <mergeCell ref="I366:W366"/>
    <mergeCell ref="B365:H367"/>
    <mergeCell ref="B364:E364"/>
    <mergeCell ref="B360:E363"/>
    <mergeCell ref="P359:S359"/>
    <mergeCell ref="L360:O362"/>
    <mergeCell ref="P360:S362"/>
    <mergeCell ref="B357:E359"/>
    <mergeCell ref="I359:K359"/>
    <mergeCell ref="I360:K362"/>
    <mergeCell ref="F359:H359"/>
    <mergeCell ref="F360:H362"/>
    <mergeCell ref="L346:O347"/>
    <mergeCell ref="P346:S347"/>
    <mergeCell ref="T346:W347"/>
    <mergeCell ref="L345:O345"/>
    <mergeCell ref="P345:S345"/>
    <mergeCell ref="T345:W345"/>
    <mergeCell ref="L332:O333"/>
    <mergeCell ref="P331:S331"/>
    <mergeCell ref="L330:O330"/>
    <mergeCell ref="P327:S329"/>
    <mergeCell ref="T331:W331"/>
    <mergeCell ref="L344:O344"/>
    <mergeCell ref="P344:S344"/>
    <mergeCell ref="T344:W344"/>
    <mergeCell ref="P341:S343"/>
    <mergeCell ref="L341:O343"/>
    <mergeCell ref="T341:W343"/>
    <mergeCell ref="Y284:Y288"/>
    <mergeCell ref="Y293:Y296"/>
    <mergeCell ref="K311:O314"/>
    <mergeCell ref="P311:S314"/>
    <mergeCell ref="T311:W314"/>
    <mergeCell ref="Y307:Y310"/>
    <mergeCell ref="Y311:Y314"/>
    <mergeCell ref="K303:O306"/>
    <mergeCell ref="T293:W296"/>
    <mergeCell ref="A49:W49"/>
    <mergeCell ref="H93:W93"/>
    <mergeCell ref="H94:W94"/>
    <mergeCell ref="H95:W95"/>
    <mergeCell ref="D87:W89"/>
    <mergeCell ref="Y280:Y283"/>
    <mergeCell ref="L107:W107"/>
    <mergeCell ref="L108:S108"/>
    <mergeCell ref="B122:W123"/>
    <mergeCell ref="O125:W126"/>
    <mergeCell ref="A45:W46"/>
    <mergeCell ref="T276:W279"/>
    <mergeCell ref="K273:W273"/>
    <mergeCell ref="P275:S275"/>
    <mergeCell ref="T275:W275"/>
    <mergeCell ref="P276:S279"/>
    <mergeCell ref="K275:O275"/>
    <mergeCell ref="K276:O279"/>
    <mergeCell ref="K274:W274"/>
    <mergeCell ref="A59:W63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B465:G465"/>
    <mergeCell ref="H465:S465"/>
    <mergeCell ref="H97:W97"/>
    <mergeCell ref="G56:H56"/>
    <mergeCell ref="A67:W70"/>
    <mergeCell ref="A72:W74"/>
    <mergeCell ref="T383:W383"/>
    <mergeCell ref="B384:E385"/>
    <mergeCell ref="F384:G385"/>
    <mergeCell ref="H384:K385"/>
    <mergeCell ref="A447:A448"/>
    <mergeCell ref="H451:K452"/>
    <mergeCell ref="P326:S326"/>
    <mergeCell ref="T327:W329"/>
    <mergeCell ref="L327:O329"/>
    <mergeCell ref="P440:S441"/>
    <mergeCell ref="L384:O385"/>
    <mergeCell ref="P384:S385"/>
    <mergeCell ref="T384:W385"/>
    <mergeCell ref="A386:A388"/>
    <mergeCell ref="H92:W92"/>
    <mergeCell ref="S135:W136"/>
    <mergeCell ref="S153:W155"/>
    <mergeCell ref="S156:W156"/>
    <mergeCell ref="S157:W157"/>
    <mergeCell ref="S158:W158"/>
    <mergeCell ref="S127:W127"/>
    <mergeCell ref="S133:W133"/>
    <mergeCell ref="O127:R127"/>
    <mergeCell ref="O128:R134"/>
    <mergeCell ref="A449:A452"/>
    <mergeCell ref="A453:A456"/>
    <mergeCell ref="B453:G456"/>
    <mergeCell ref="H453:K453"/>
    <mergeCell ref="L453:O453"/>
    <mergeCell ref="P453:S453"/>
    <mergeCell ref="H454:K454"/>
    <mergeCell ref="H455:K456"/>
    <mergeCell ref="L449:O449"/>
    <mergeCell ref="H449:K449"/>
    <mergeCell ref="A257:W257"/>
    <mergeCell ref="A432:A434"/>
    <mergeCell ref="A273:A279"/>
    <mergeCell ref="L326:O326"/>
    <mergeCell ref="K280:O283"/>
    <mergeCell ref="B263:W269"/>
    <mergeCell ref="P303:S306"/>
    <mergeCell ref="T303:W306"/>
    <mergeCell ref="B386:H388"/>
    <mergeCell ref="T334:W336"/>
    <mergeCell ref="L455:O456"/>
    <mergeCell ref="P455:S456"/>
    <mergeCell ref="T455:W456"/>
    <mergeCell ref="L454:O454"/>
    <mergeCell ref="P454:S454"/>
    <mergeCell ref="K307:O310"/>
    <mergeCell ref="P307:S310"/>
    <mergeCell ref="I386:W386"/>
    <mergeCell ref="B435:K436"/>
    <mergeCell ref="T337:W337"/>
    <mergeCell ref="A357:A359"/>
    <mergeCell ref="A300:A306"/>
    <mergeCell ref="A324:A326"/>
    <mergeCell ref="A422:A424"/>
    <mergeCell ref="K300:W300"/>
    <mergeCell ref="K302:O302"/>
    <mergeCell ref="A307:A310"/>
    <mergeCell ref="P302:S302"/>
    <mergeCell ref="T302:W302"/>
    <mergeCell ref="T307:W310"/>
    <mergeCell ref="B438:K441"/>
    <mergeCell ref="B437:K437"/>
    <mergeCell ref="L424:O424"/>
    <mergeCell ref="B425:K427"/>
    <mergeCell ref="L425:O429"/>
    <mergeCell ref="B428:K428"/>
    <mergeCell ref="L440:O441"/>
    <mergeCell ref="L430:O431"/>
    <mergeCell ref="L432:W432"/>
    <mergeCell ref="B429:K431"/>
    <mergeCell ref="A150:A152"/>
    <mergeCell ref="A164:W164"/>
    <mergeCell ref="B165:W167"/>
    <mergeCell ref="B168:W171"/>
    <mergeCell ref="B273:J279"/>
    <mergeCell ref="P289:S292"/>
    <mergeCell ref="T289:W292"/>
    <mergeCell ref="T284:W288"/>
    <mergeCell ref="T280:W283"/>
    <mergeCell ref="B255:W256"/>
    <mergeCell ref="K284:O288"/>
    <mergeCell ref="P284:S288"/>
    <mergeCell ref="P280:S283"/>
    <mergeCell ref="B258:W262"/>
    <mergeCell ref="I387:W387"/>
    <mergeCell ref="I388:M388"/>
    <mergeCell ref="N388:R388"/>
    <mergeCell ref="S388:W388"/>
    <mergeCell ref="K289:O292"/>
    <mergeCell ref="P293:S296"/>
    <mergeCell ref="A311:A314"/>
    <mergeCell ref="B280:J283"/>
    <mergeCell ref="B284:J288"/>
    <mergeCell ref="B293:J296"/>
    <mergeCell ref="A289:A292"/>
    <mergeCell ref="B289:J292"/>
    <mergeCell ref="A293:A296"/>
    <mergeCell ref="A280:A283"/>
    <mergeCell ref="B307:J310"/>
    <mergeCell ref="B311:J314"/>
    <mergeCell ref="A389:A394"/>
    <mergeCell ref="B389:H392"/>
    <mergeCell ref="F472:S472"/>
    <mergeCell ref="C100:K100"/>
    <mergeCell ref="L100:R100"/>
    <mergeCell ref="A113:W113"/>
    <mergeCell ref="B114:W117"/>
    <mergeCell ref="B118:W121"/>
    <mergeCell ref="A125:A127"/>
    <mergeCell ref="I389:M390"/>
    <mergeCell ref="N389:R390"/>
    <mergeCell ref="S389:W390"/>
    <mergeCell ref="B432:K434"/>
    <mergeCell ref="B422:K424"/>
    <mergeCell ref="L422:W422"/>
    <mergeCell ref="L423:W423"/>
    <mergeCell ref="T430:W431"/>
    <mergeCell ref="P425:S429"/>
    <mergeCell ref="T425:W429"/>
    <mergeCell ref="I391:M391"/>
    <mergeCell ref="E128:N134"/>
    <mergeCell ref="E135:N136"/>
    <mergeCell ref="E137:N143"/>
    <mergeCell ref="E144:N145"/>
    <mergeCell ref="A187:A189"/>
    <mergeCell ref="B187:H189"/>
    <mergeCell ref="I187:W187"/>
    <mergeCell ref="I188:W188"/>
    <mergeCell ref="I189:M189"/>
    <mergeCell ref="S159:W160"/>
    <mergeCell ref="N189:R189"/>
    <mergeCell ref="S189:W189"/>
    <mergeCell ref="I240:M241"/>
    <mergeCell ref="N240:R241"/>
    <mergeCell ref="S240:W241"/>
    <mergeCell ref="A247:A252"/>
    <mergeCell ref="B247:H252"/>
    <mergeCell ref="I247:M250"/>
    <mergeCell ref="N247:R250"/>
    <mergeCell ref="S247:W250"/>
    <mergeCell ref="A190:A194"/>
    <mergeCell ref="B190:H194"/>
    <mergeCell ref="I190:M192"/>
    <mergeCell ref="N190:R192"/>
    <mergeCell ref="S190:W192"/>
    <mergeCell ref="I193:M194"/>
    <mergeCell ref="N193:R194"/>
    <mergeCell ref="S193:W194"/>
    <mergeCell ref="A195:A199"/>
    <mergeCell ref="B195:H199"/>
    <mergeCell ref="I195:M197"/>
    <mergeCell ref="N195:R197"/>
    <mergeCell ref="S195:W197"/>
    <mergeCell ref="I198:M199"/>
    <mergeCell ref="N198:R199"/>
    <mergeCell ref="S198:W199"/>
    <mergeCell ref="A200:A205"/>
    <mergeCell ref="B200:H205"/>
    <mergeCell ref="I200:M203"/>
    <mergeCell ref="N200:R203"/>
    <mergeCell ref="S200:W203"/>
    <mergeCell ref="I204:M205"/>
    <mergeCell ref="N204:R205"/>
    <mergeCell ref="S204:W205"/>
    <mergeCell ref="A206:A213"/>
    <mergeCell ref="I206:M211"/>
    <mergeCell ref="N206:R211"/>
    <mergeCell ref="S206:W211"/>
    <mergeCell ref="I212:M213"/>
    <mergeCell ref="N212:R213"/>
    <mergeCell ref="S212:W213"/>
    <mergeCell ref="B206:H211"/>
    <mergeCell ref="B212:H213"/>
    <mergeCell ref="A229:A236"/>
    <mergeCell ref="I229:M234"/>
    <mergeCell ref="N229:R234"/>
    <mergeCell ref="S229:W234"/>
    <mergeCell ref="I235:M236"/>
    <mergeCell ref="N235:R236"/>
    <mergeCell ref="S235:W236"/>
    <mergeCell ref="B233:H236"/>
    <mergeCell ref="N391:R391"/>
    <mergeCell ref="S391:W391"/>
    <mergeCell ref="I392:M392"/>
    <mergeCell ref="N392:R392"/>
    <mergeCell ref="S392:W392"/>
    <mergeCell ref="B393:H394"/>
    <mergeCell ref="I393:M394"/>
    <mergeCell ref="N393:R394"/>
    <mergeCell ref="S393:W394"/>
    <mergeCell ref="A226:A228"/>
    <mergeCell ref="B226:H228"/>
    <mergeCell ref="I226:W226"/>
    <mergeCell ref="I227:W227"/>
    <mergeCell ref="I228:M228"/>
    <mergeCell ref="N228:R228"/>
    <mergeCell ref="S228:W228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07 B311">
    <cfRule type="expression" priority="29" dxfId="46" stopIfTrue="1">
      <formula>AND($G$56="первая",$B307&lt;&gt;"")</formula>
    </cfRule>
  </conditionalFormatting>
  <conditionalFormatting sqref="K307:S314">
    <cfRule type="containsText" priority="20" dxfId="41" operator="containsText" stopIfTrue="1" text="Не заполнять">
      <formula>NOT(ISERROR(SEARCH("Не заполнять",K307)))</formula>
    </cfRule>
  </conditionalFormatting>
  <conditionalFormatting sqref="A486:W486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4">
    <dataValidation type="list" allowBlank="1" showInputMessage="1" showErrorMessage="1" sqref="P451:S452">
      <formula1>AD451</formula1>
    </dataValidation>
    <dataValidation type="list" allowBlank="1" showInputMessage="1" showErrorMessage="1" sqref="T451:W452">
      <formula1>$AE451</formula1>
    </dataValidation>
    <dataValidation type="list" allowBlank="1" showInputMessage="1" showErrorMessage="1" sqref="P455:S456 P459:S460">
      <formula1>$AD$454</formula1>
    </dataValidation>
    <dataValidation allowBlank="1" showInputMessage="1" showErrorMessage="1" promptTitle="Внимание!" prompt="Введите данные на листе &#10;&quot;Общие сведения&quot;" sqref="A477 AI63:AJ66 H92:J99 L108:M108 A67 A59 P109:R109 Y63:AG66 D87:W89"/>
    <dataValidation type="list" allowBlank="1" showInputMessage="1" showErrorMessage="1" sqref="H418:J419 I339:K340 I332:K333 I346:K347 H185:J186 I363:O364 U418:W419">
      <formula1>"10,  "</formula1>
    </dataValidation>
    <dataValidation type="list" allowBlank="1" showInputMessage="1" showErrorMessage="1" sqref="T440:W441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9 Z81 U81:V81"/>
    <dataValidation type="list" allowBlank="1" showInputMessage="1" showErrorMessage="1" sqref="P430:S431 P363:W364">
      <formula1>"20,  "</formula1>
    </dataValidation>
    <dataValidation type="list" allowBlank="1" showInputMessage="1" showErrorMessage="1" sqref="P440:S441 S212:W213 S204:W205 S193:W194 S198:W199 S235:W236 S251:W252 S240:W241 S245:W246 T430:W431">
      <formula1>"30,  "</formula1>
    </dataValidation>
    <dataValidation type="list" allowBlank="1" showInputMessage="1" showErrorMessage="1" sqref="K418:O419">
      <formula1>"20, 40, "</formula1>
    </dataValidation>
    <dataValidation type="list" allowBlank="1" showInputMessage="1" showErrorMessage="1" sqref="P418:T419">
      <formula1>"40, 60, "</formula1>
    </dataValidation>
    <dataValidation type="list" allowBlank="1" showInputMessage="1" showErrorMessage="1" sqref="L451:O452">
      <formula1>$AC$451</formula1>
    </dataValidation>
    <dataValidation type="list" allowBlank="1" showInputMessage="1" showErrorMessage="1" sqref="L455:O456 L459:O460">
      <formula1>$AC$454</formula1>
    </dataValidation>
    <dataValidation type="list" allowBlank="1" showInputMessage="1" showErrorMessage="1" sqref="T455:W456 T459:W460">
      <formula1>$AE$454</formula1>
    </dataValidation>
    <dataValidation type="list" allowBlank="1" showInputMessage="1" showErrorMessage="1" sqref="N404:R405">
      <formula1>"10, 20, 30, "</formula1>
    </dataValidation>
    <dataValidation type="list" allowBlank="1" showInputMessage="1" showErrorMessage="1" sqref="S404:W405">
      <formula1>"50, 70, "</formula1>
    </dataValidation>
    <dataValidation type="list" allowBlank="1" showInputMessage="1" showErrorMessage="1" sqref="L339:O340 N393:R394 L374:O375 L332:O333 N193:R194 N198:R199 K185:M186 N212:R213 N235:R236 N251:R252 N240:R241 N245:R246 L346:O347 N204:R205 P355:W356">
      <formula1>"10, 20, "</formula1>
    </dataValidation>
    <dataValidation type="list" allowBlank="1" showInputMessage="1" showErrorMessage="1" sqref="I355:O356 P307:S314 P293:R294 P289:R290 P284:R284 P280:R280 Q322:R323 N322:N323">
      <formula1>"10, "</formula1>
    </dataValidation>
    <dataValidation type="list" allowBlank="1" showInputMessage="1" showErrorMessage="1" sqref="P339:S340 P384:S385 T374:W375 T332:W333 T346:W347">
      <formula1>"30, 40, "</formula1>
    </dataValidation>
    <dataValidation type="list" allowBlank="1" showInputMessage="1" showErrorMessage="1" sqref="T339:W340 T384:W385">
      <formula1>"40, 50, "</formula1>
    </dataValidation>
    <dataValidation type="list" allowBlank="1" showInputMessage="1" showErrorMessage="1" sqref="P346:S347 L384:O385 P374:S375 P332:S333">
      <formula1>"20, 30, "</formula1>
    </dataValidation>
    <dataValidation type="list" allowBlank="1" showInputMessage="1" showErrorMessage="1" sqref="T307:W314 T280:W296 U322:W323 S322:S323">
      <formula1>"20,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N185:O186">
      <formula1>"10, 30, "</formula1>
    </dataValidation>
    <dataValidation type="list" allowBlank="1" showInputMessage="1" showErrorMessage="1" sqref="T185 Q185:S186">
      <formula1>"10, 40, "</formula1>
    </dataValidation>
    <dataValidation type="list" allowBlank="1" showInputMessage="1" showErrorMessage="1" sqref="H384:K385">
      <formula1>"10, 20,  "</formula1>
    </dataValidation>
    <dataValidation type="list" allowBlank="1" showInputMessage="1" showErrorMessage="1" sqref="S393:W394">
      <formula1>"20, 40,"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06" location="ЭЗ!A40" tooltip="Щелкните, чтобы перейти по ссылке" display="в начало Экспертного заключения"/>
    <hyperlink ref="B504:V504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2021-07-22T10:38:34Z</cp:lastPrinted>
  <dcterms:created xsi:type="dcterms:W3CDTF">2020-08-22T14:09:43Z</dcterms:created>
  <dcterms:modified xsi:type="dcterms:W3CDTF">2021-07-26T12:04:30Z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