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8870" windowHeight="1267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сведения'!$A$158</definedName>
    <definedName name="_proverka">'ЭЗ'!$A$569</definedName>
    <definedName name="_xlfn.IFERROR" hidden="1">#NAME?</definedName>
    <definedName name="_дпо" localSheetId="1">#REF!</definedName>
    <definedName name="_дпо">'общие сведения'!$A$165</definedName>
    <definedName name="_рек3" localSheetId="1">#REF!</definedName>
    <definedName name="_рек3">'общие сведения'!$A$167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уз_1" localSheetId="1">#REF!</definedName>
    <definedName name="вуз_1">'общие сведения'!$B$56</definedName>
    <definedName name="вуз_2" localSheetId="1">#REF!</definedName>
    <definedName name="вуз_2">'общие сведения'!$B$60</definedName>
    <definedName name="вуз_3" localSheetId="1">#REF!</definedName>
    <definedName name="вуз_3">'общие сведения'!$B$64</definedName>
    <definedName name="вывод1" localSheetId="1">#REF!</definedName>
    <definedName name="вывод1">'общие сведения'!$K$90</definedName>
    <definedName name="год" localSheetId="1">#REF!</definedName>
    <definedName name="год">'общие сведения'!$H$121</definedName>
    <definedName name="год_вуз_1" localSheetId="1">#REF!</definedName>
    <definedName name="год_вуз_1">'общие сведения'!$E$58</definedName>
    <definedName name="год_вуз_2" localSheetId="1">#REF!</definedName>
    <definedName name="год_вуз_2">'общие сведения'!$E$62</definedName>
    <definedName name="год_вуз_3" localSheetId="1">#REF!</definedName>
    <definedName name="год_вуз_3">'общие сведения'!$E$66</definedName>
    <definedName name="год_доп_по" localSheetId="1">#REF!</definedName>
    <definedName name="год_доп_по">'общие сведения'!$G$73</definedName>
    <definedName name="датаПрисв">'общие сведения'!$I$49</definedName>
    <definedName name="датаПрисв_ОС" localSheetId="1">#REF!</definedName>
    <definedName name="датаПрисв_ОС">'общие сведения'!$I$49</definedName>
    <definedName name="долж_ОС" localSheetId="1">#REF!</definedName>
    <definedName name="долж_ОС">'общие сведения'!$B$41</definedName>
    <definedName name="доп_по" localSheetId="1">#REF!</definedName>
    <definedName name="доп_по">'общие сведения'!$B$75</definedName>
    <definedName name="ЗаявлКатег_ОС" localSheetId="1">#REF!</definedName>
    <definedName name="ЗаявлКатег_ОС">'общие сведения'!$D$51</definedName>
    <definedName name="итого_1" localSheetId="1">'ЭЗ'!$AA$112</definedName>
    <definedName name="итого_1">'ЭЗ'!$AA$112</definedName>
    <definedName name="итого_2" localSheetId="1">'ЭЗ'!$AA$165</definedName>
    <definedName name="итого_2">'ЭЗ'!$AA$165</definedName>
    <definedName name="итого_3" localSheetId="1">'ЭЗ'!$AA$335</definedName>
    <definedName name="итого_3">'ЭЗ'!$AA$335</definedName>
    <definedName name="итого_4">'ЭЗ'!$AA$524</definedName>
    <definedName name="катег_ОС" localSheetId="1">#REF!</definedName>
    <definedName name="катег_ОС">'общие сведения'!$D$49</definedName>
    <definedName name="кол_ЭГ" localSheetId="1">#REF!</definedName>
    <definedName name="кол_ЭГ">'общие сведения'!$F$110</definedName>
    <definedName name="Курсы_0">#REF!</definedName>
    <definedName name="место_ОС" localSheetId="1">#REF!</definedName>
    <definedName name="место_ОС">'общие сведения'!$B$37</definedName>
    <definedName name="МуницОбр_ОС" localSheetId="1">#REF!</definedName>
    <definedName name="МуницОбр_ОС">'общие сведения'!$G$35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сведения'!$A$3:$J$129</definedName>
    <definedName name="_xlnm.Print_Area" localSheetId="1">'ЭЗ'!$A$40:$W$108</definedName>
    <definedName name="Ош_1" localSheetId="1">#REF!</definedName>
    <definedName name="Ош_1">'общие сведения'!$J$47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сведения'!$A$101</definedName>
    <definedName name="рез_3" localSheetId="1">#REF!</definedName>
    <definedName name="рез_3">'общие сведения'!$A$102</definedName>
    <definedName name="рек_итог" localSheetId="1">#REF!</definedName>
    <definedName name="рек_итог">'общие сведения'!$M$159</definedName>
    <definedName name="рек_общ" localSheetId="1">#REF!</definedName>
    <definedName name="рек_общ">'общие сведения'!$M$158</definedName>
    <definedName name="Рек_ПК">'общие сведения'!$A$158</definedName>
    <definedName name="рек2" localSheetId="1">#REF!</definedName>
    <definedName name="рек2">'общие сведения'!$I$96</definedName>
    <definedName name="рек3" localSheetId="1">#REF!</definedName>
    <definedName name="рек3">'общие сведения'!$I$99</definedName>
    <definedName name="специал_ОС" localSheetId="1">#REF!</definedName>
    <definedName name="специал_ОС">'общие сведения'!$B$42</definedName>
    <definedName name="стаж_ОС" localSheetId="1">#REF!</definedName>
    <definedName name="стаж_ОС">'общие сведения'!$D$47</definedName>
    <definedName name="фио_1чл" localSheetId="1">#REF!</definedName>
    <definedName name="фио_1чл">'общие сведения'!$C$114</definedName>
    <definedName name="фио_2чл" localSheetId="1">#REF!</definedName>
    <definedName name="фио_2чл">'общие сведения'!$C$116</definedName>
    <definedName name="фио_3чл" localSheetId="1">#REF!</definedName>
    <definedName name="фио_3чл">'общие сведения'!$C$118</definedName>
    <definedName name="фио_ОС" localSheetId="1">#REF!</definedName>
    <definedName name="фио_ОС">'общие сведения'!$C$33</definedName>
    <definedName name="фио_предс" localSheetId="1">#REF!</definedName>
    <definedName name="фио_предс">'общие сведения'!$C$112</definedName>
    <definedName name="ы">'общие сведения'!$B$42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7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5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9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
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8"/>
            <rFont val="Tahoma"/>
            <family val="2"/>
          </rPr>
          <t xml:space="preserve">- </t>
        </r>
        <r>
          <rPr>
            <i/>
            <sz val="8"/>
            <rFont val="Tahoma"/>
            <family val="2"/>
          </rPr>
          <t>учитывается при наличии мониторинга системы образования (ВПР, РДР, др. - указать)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пп. </t>
        </r>
        <r>
          <rPr>
            <b/>
            <i/>
            <sz val="9"/>
            <rFont val="Tahoma"/>
            <family val="2"/>
          </rPr>
          <t>2.17. - 2.21.</t>
        </r>
        <r>
          <rPr>
            <sz val="9"/>
            <rFont val="Tahoma"/>
            <family val="2"/>
          </rPr>
          <t xml:space="preserve">  Дополнительные показатели  
-</t>
        </r>
        <r>
          <rPr>
            <i/>
            <sz val="8"/>
            <rFont val="Tahoma"/>
            <family val="2"/>
          </rPr>
          <t xml:space="preserve"> учитываются только для педагога-психолога детского дома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Педагогика и психология", квалификация: педагог-психолог.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9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74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6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6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41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52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504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I291" authorId="1">
      <text>
        <r>
          <rPr>
            <sz val="9"/>
            <rFont val="Tahoma"/>
            <family val="2"/>
          </rPr>
          <t xml:space="preserve">Пункты 2.17. - 2.21. заполняются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
на педагогов-психологов
</t>
        </r>
        <r>
          <rPr>
            <b/>
            <sz val="9"/>
            <rFont val="Tahoma"/>
            <family val="2"/>
          </rPr>
          <t>детских домов. 
Вид ОО</t>
        </r>
        <r>
          <rPr>
            <sz val="9"/>
            <rFont val="Tahoma"/>
            <family val="2"/>
          </rPr>
          <t xml:space="preserve"> следует указать 
на листе «Общие сведения».</t>
        </r>
      </text>
    </comment>
  </commentList>
</comments>
</file>

<file path=xl/sharedStrings.xml><?xml version="1.0" encoding="utf-8"?>
<sst xmlns="http://schemas.openxmlformats.org/spreadsheetml/2006/main" count="1299" uniqueCount="769">
  <si>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</si>
  <si>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</si>
  <si>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</si>
  <si>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</si>
  <si>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</si>
  <si>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</si>
  <si>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</si>
  <si>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</si>
  <si>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</si>
  <si>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</si>
  <si>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</si>
  <si>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</si>
  <si>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</si>
  <si>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</si>
  <si>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</si>
  <si>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</si>
  <si>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</si>
  <si>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</si>
  <si>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</si>
  <si>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</si>
  <si>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</si>
  <si>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</si>
  <si>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</si>
  <si>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</si>
  <si>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</si>
  <si>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</si>
  <si>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</si>
  <si>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</si>
  <si>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</si>
  <si>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</si>
  <si>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</si>
  <si>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</si>
  <si>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</si>
  <si>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</si>
  <si>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</si>
  <si>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</si>
  <si>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</si>
  <si>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</si>
  <si>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</si>
  <si>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</si>
  <si>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</si>
  <si>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</si>
  <si>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</si>
  <si>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</si>
  <si>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</si>
  <si>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</si>
  <si>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</si>
  <si>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</si>
  <si>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</si>
  <si>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</si>
  <si>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</si>
  <si>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</si>
  <si>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</si>
  <si>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</si>
  <si>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</si>
  <si>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</si>
  <si>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</si>
  <si>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</si>
  <si>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</si>
  <si>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</si>
  <si>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</si>
  <si>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</si>
  <si>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</si>
  <si>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</si>
  <si>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</si>
  <si>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</si>
  <si>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</si>
  <si>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</si>
  <si>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</si>
  <si>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</si>
  <si>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</si>
  <si>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</si>
  <si>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</si>
  <si>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</si>
  <si>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</si>
  <si>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</si>
  <si>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</si>
  <si>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</si>
  <si>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</si>
  <si>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</si>
  <si>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</si>
  <si>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</si>
  <si>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</si>
  <si>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</si>
  <si>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</si>
  <si>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</si>
  <si>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</si>
  <si>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</si>
  <si>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</si>
  <si>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</si>
  <si>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</si>
  <si>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</si>
  <si>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</si>
  <si>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</si>
  <si>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</si>
  <si>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</si>
  <si>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</si>
  <si>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</si>
  <si>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</si>
  <si>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</si>
  <si>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</si>
  <si>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</si>
  <si>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</si>
  <si>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</si>
  <si>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</si>
  <si>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</si>
  <si>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</si>
  <si>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</si>
  <si>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</si>
  <si>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</si>
  <si>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</si>
  <si>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</si>
  <si>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</si>
  <si>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</si>
  <si>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</si>
  <si>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</si>
  <si>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</si>
  <si>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</si>
  <si>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</si>
  <si>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</si>
  <si>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</si>
  <si>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</si>
  <si>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</si>
  <si>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</si>
  <si>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</si>
  <si>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</si>
  <si>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</si>
  <si>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</si>
  <si>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</si>
  <si>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</si>
  <si>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</si>
  <si>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</si>
  <si>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</si>
  <si>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</si>
  <si>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</si>
  <si>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</si>
  <si>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</si>
  <si>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</si>
  <si>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</si>
  <si>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</si>
  <si>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</si>
  <si>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</si>
  <si>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</si>
  <si>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</si>
  <si>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</si>
  <si>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</si>
  <si>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</si>
  <si>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</si>
  <si>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</si>
  <si>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</si>
  <si>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</si>
  <si>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</si>
  <si>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</si>
  <si>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</si>
  <si>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</si>
  <si>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</si>
  <si>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</si>
  <si>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</si>
  <si>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</si>
  <si>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</si>
  <si>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</si>
  <si>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</si>
  <si>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</si>
  <si>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</si>
  <si>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</si>
  <si>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</si>
  <si>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</si>
  <si>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</si>
  <si>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</si>
  <si>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</si>
  <si>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</si>
  <si>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</si>
  <si>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</si>
  <si>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</si>
  <si>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</si>
  <si>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</si>
  <si>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</si>
  <si>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</si>
  <si>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</si>
  <si>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</si>
  <si>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</si>
  <si>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</si>
  <si>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</si>
  <si>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</si>
  <si>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</si>
  <si>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</si>
  <si>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</si>
  <si>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</si>
  <si>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</si>
  <si>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</si>
  <si>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</si>
  <si>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</si>
  <si>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</si>
  <si>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</si>
  <si>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</si>
  <si>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</si>
  <si>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</si>
  <si>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</si>
  <si>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</si>
  <si>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</si>
  <si>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</si>
  <si>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</si>
  <si>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</si>
  <si>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</si>
  <si>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</si>
  <si>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</si>
  <si>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</si>
  <si>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</si>
  <si>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</si>
  <si>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</si>
  <si>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</si>
  <si>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</si>
  <si>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</si>
  <si>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</si>
  <si>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</si>
  <si>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</si>
  <si>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</si>
  <si>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</si>
  <si>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</si>
  <si>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</si>
  <si>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</si>
  <si>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</si>
  <si>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</si>
  <si>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</si>
  <si>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</si>
  <si>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</si>
  <si>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</si>
  <si>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</si>
  <si>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</si>
  <si>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</si>
  <si>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</si>
  <si>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</si>
  <si>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</si>
  <si>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</si>
  <si>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</si>
  <si>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</si>
  <si>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</si>
  <si>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</si>
  <si>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</si>
  <si>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</si>
  <si>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</si>
  <si>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</si>
  <si>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</si>
  <si>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</si>
  <si>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</si>
  <si>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</si>
  <si>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</si>
  <si>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</si>
  <si>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</si>
  <si>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</si>
  <si>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</si>
  <si>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</si>
  <si>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</si>
  <si>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</si>
  <si>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</si>
  <si>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</si>
  <si>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</si>
  <si>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</si>
  <si>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</si>
  <si>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</si>
  <si>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</si>
  <si>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</si>
  <si>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</si>
  <si>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</si>
  <si>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</si>
  <si>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</si>
  <si>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</si>
  <si>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</si>
  <si>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</si>
  <si>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</si>
  <si>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</si>
  <si>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</si>
  <si>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</si>
  <si>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</si>
  <si>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</si>
  <si>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</si>
  <si>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</si>
  <si>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</si>
  <si>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</si>
  <si>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</si>
  <si>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</si>
  <si>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</si>
  <si>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</si>
  <si>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</si>
  <si>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</si>
  <si>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</si>
  <si>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</si>
  <si>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</si>
  <si>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</si>
  <si>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</si>
  <si>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</si>
  <si>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</si>
  <si>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</si>
  <si>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</si>
  <si>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</si>
  <si>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</si>
  <si>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</si>
  <si>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</si>
  <si>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</si>
  <si>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</si>
  <si>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</si>
  <si>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</si>
  <si>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</si>
  <si>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</si>
  <si>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</si>
  <si>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</si>
  <si>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</si>
  <si>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</si>
  <si>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</si>
  <si>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</si>
  <si>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</si>
  <si>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</si>
  <si>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</si>
  <si>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</si>
  <si>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</si>
  <si>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</si>
  <si>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</si>
  <si>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</si>
  <si>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</si>
  <si>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</si>
  <si>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</si>
  <si>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</si>
  <si>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</si>
  <si>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</si>
  <si>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</si>
  <si>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</si>
  <si>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</si>
  <si>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</si>
  <si>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</si>
  <si>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</si>
  <si>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</si>
  <si>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</si>
  <si>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</si>
  <si>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</si>
  <si>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</si>
  <si>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</si>
  <si>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</si>
  <si>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</si>
  <si>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</si>
  <si>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</si>
  <si>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</si>
  <si>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</si>
  <si>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</si>
  <si>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</si>
  <si>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</si>
  <si>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</si>
  <si>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</si>
  <si>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</si>
  <si>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</si>
  <si>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</si>
  <si>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</si>
  <si>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</si>
  <si>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</si>
  <si>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</si>
  <si>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</si>
  <si>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</si>
  <si>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</si>
  <si>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</si>
  <si>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</si>
  <si>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</si>
  <si>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</si>
  <si>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</si>
  <si>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</si>
  <si>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</si>
  <si>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</si>
  <si>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</si>
  <si>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</si>
  <si>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</si>
  <si>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</si>
  <si>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</si>
  <si>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</si>
  <si>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</si>
  <si>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</si>
  <si>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</si>
  <si>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</si>
  <si>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</si>
  <si>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</si>
  <si>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</si>
  <si>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</si>
  <si>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</si>
  <si>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</si>
  <si>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</si>
  <si>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</si>
  <si>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</si>
  <si>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</si>
  <si>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</si>
  <si>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</si>
  <si>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</si>
  <si>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</si>
  <si>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</si>
  <si>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</si>
  <si>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</si>
  <si>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</si>
  <si>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</si>
  <si>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</si>
  <si>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</si>
  <si>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</si>
  <si>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</si>
  <si>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</si>
  <si>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</si>
  <si>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</si>
  <si>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</si>
  <si>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</si>
  <si>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</si>
  <si>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</si>
  <si>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</si>
  <si>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</si>
  <si>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</si>
  <si>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</si>
  <si>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</si>
  <si>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</si>
  <si>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</si>
  <si>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</si>
  <si>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</si>
  <si>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</si>
  <si>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</si>
  <si>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</si>
  <si>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</si>
  <si>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</si>
  <si>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</si>
  <si>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</si>
  <si>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</si>
  <si>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</si>
  <si>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</si>
  <si>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</si>
  <si>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</si>
  <si>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</si>
  <si>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</si>
  <si>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</si>
  <si>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</si>
  <si>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</si>
  <si>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</si>
  <si>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</si>
  <si>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</si>
  <si>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</si>
  <si>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</si>
  <si>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</si>
  <si>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</si>
  <si>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</si>
  <si>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</si>
  <si>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</si>
  <si>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</si>
  <si>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</si>
  <si>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</si>
  <si>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</si>
  <si>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</si>
  <si>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</si>
  <si>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</si>
  <si>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</si>
  <si>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</si>
  <si>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</si>
  <si>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</si>
  <si>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 
</t>
  </si>
  <si>
    <t>ВПР (Федеральный ур.)</t>
  </si>
  <si>
    <t>РДР (Региональный ур.)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</si>
  <si>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</si>
  <si>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</si>
  <si>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</si>
  <si>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</si>
  <si>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</si>
  <si>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</si>
  <si>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Участие в деятельности 
экспертных групп/комиссий, апелляционных, предметных комиссий, профессиональных ассоциаций (ПА), 
жюри профессиональных конкурсов и др.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</si>
  <si>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</si>
  <si>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</si>
  <si>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</si>
  <si>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</si>
  <si>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</si>
  <si>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</si>
  <si>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</si>
  <si>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</si>
  <si>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</si>
  <si>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</si>
  <si>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</si>
  <si>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</si>
  <si>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</si>
  <si>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</si>
  <si>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</si>
  <si>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</si>
  <si>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</si>
  <si>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</si>
  <si>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</si>
  <si>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</si>
  <si>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</si>
  <si>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</si>
  <si>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</si>
  <si>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</si>
  <si>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</si>
  <si>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</si>
  <si>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</si>
  <si>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</si>
  <si>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</si>
  <si>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</si>
  <si>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</si>
  <si>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</si>
  <si>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</si>
  <si>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</si>
  <si>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</si>
  <si>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</si>
  <si>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</si>
  <si>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</si>
  <si>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</si>
  <si>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</si>
  <si>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</si>
  <si>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</si>
  <si>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</si>
  <si>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</si>
  <si>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</si>
  <si>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</si>
  <si>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 xml:space="preserve"> …</t>
  </si>
  <si>
    <t>СКРЫТЬ СТРОКУ !</t>
  </si>
  <si>
    <t>п</t>
  </si>
  <si>
    <t>в</t>
  </si>
  <si>
    <t>*без уч.</t>
  </si>
  <si>
    <t>*с уч.</t>
  </si>
  <si>
    <t>** - с учетом дополнительных показателей для педагогов-психологов детских домов</t>
  </si>
  <si>
    <t xml:space="preserve">в алф.порядке! </t>
  </si>
  <si>
    <t>Пороги к ЭЗ               __ЭЗ утв.   от 30.04.2021   № Р-325__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</si>
  <si>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</si>
  <si>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</si>
  <si>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</si>
  <si>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</si>
  <si>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</si>
  <si>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</si>
  <si>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</si>
  <si>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</si>
  <si>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</si>
  <si>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</si>
  <si>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</si>
  <si>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</si>
  <si>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</si>
  <si>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</si>
  <si>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</si>
  <si>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</si>
  <si>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</si>
  <si>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</si>
  <si>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</si>
  <si>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</si>
  <si>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</si>
  <si>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</si>
  <si>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</si>
  <si>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</si>
  <si>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</si>
  <si>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</si>
  <si>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</si>
  <si>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</si>
  <si>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</si>
  <si>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</si>
  <si>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</si>
  <si>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</si>
  <si>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</si>
  <si>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</si>
  <si>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</si>
  <si>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</si>
  <si>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</si>
  <si>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</si>
  <si>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</si>
  <si>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</si>
  <si>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</si>
  <si>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</si>
  <si>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</si>
  <si>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</si>
  <si>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</si>
  <si>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</si>
  <si>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</si>
  <si>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</si>
  <si>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</si>
  <si>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</si>
  <si>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</si>
  <si>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</si>
  <si>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</si>
  <si>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</si>
  <si>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</si>
  <si>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</si>
  <si>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</si>
  <si>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</si>
  <si>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</si>
  <si>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</si>
  <si>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</si>
  <si>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</si>
  <si>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</si>
  <si>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</si>
  <si>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</si>
  <si>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</si>
  <si>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</si>
  <si>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</si>
  <si>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</si>
  <si>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</si>
  <si>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</si>
  <si>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</si>
  <si>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</si>
  <si>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</si>
  <si>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</si>
  <si>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</si>
  <si>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</si>
  <si>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</si>
  <si>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</si>
  <si>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</si>
  <si>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</si>
  <si>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</si>
  <si>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</si>
  <si>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</si>
  <si>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</si>
  <si>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</si>
  <si>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</si>
  <si>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</si>
  <si>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</si>
  <si>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</si>
  <si>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</si>
  <si>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</si>
  <si>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</si>
  <si>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</si>
  <si>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</si>
  <si>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</si>
  <si>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</si>
  <si>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</si>
  <si>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</si>
  <si>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</si>
  <si>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</si>
  <si>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</si>
  <si>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</si>
  <si>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</si>
  <si>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</si>
  <si>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</si>
  <si>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</si>
  <si>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</si>
  <si>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</si>
  <si>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</si>
  <si>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</si>
  <si>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</si>
  <si>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</si>
  <si>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</si>
  <si>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</si>
  <si>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</si>
  <si>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Повышение квалификации 
(курсы повышения квалификации, стажировка)</t>
  </si>
  <si>
    <t>2) если у педагога нет высшего профессионального образования    и    профессиональной подготовки по направлению подготовки «Образование и педагогика» или ГО
или
3) если у педагога нет  высшего или  среднего профессионального (военного) образования    и    дополнительного профессионального образования в области образования и педагогики или ГО</t>
  </si>
  <si>
    <t xml:space="preserve">Получить  дополнительное профессиональное образование в области образования и педагогики или ГО. </t>
  </si>
  <si>
    <t>Наличие/получение высшего профессионального образования    и    профессиональной подготовки по направлению подготовки «Образование и педагогика» или ГО</t>
  </si>
  <si>
    <t>Наличие/получение   высшего или  среднего профессионального (военного) образования и дополнительного профессиональное образование  в области образования и педагогики или ГО</t>
  </si>
  <si>
    <t>Наличие/получение высшего или среднего профессионального образования</t>
  </si>
  <si>
    <t xml:space="preserve">2) если у педагога нет  высшего или  среднего профессионального образования  </t>
  </si>
  <si>
    <t>Дата присвоения</t>
  </si>
  <si>
    <t xml:space="preserve">об уровне квалификации педагогического работника (педагог-психолог)
 государственных, муниципальных и частных организаций Московской области, 
осуществляющих образовательную деятельность 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</si>
  <si>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"Педагогика и психология"):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</si>
  <si>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"Педагогика и психология")</t>
    </r>
  </si>
  <si>
    <r>
      <t xml:space="preserve">  =ЭЗ!Y62</t>
    </r>
    <r>
      <rPr>
        <i/>
        <strike/>
        <sz val="7"/>
        <color indexed="36"/>
        <rFont val="Calibri Light"/>
        <family val="2"/>
      </rPr>
      <t xml:space="preserve">   - проверяет слова учитель,препод…</t>
    </r>
  </si>
  <si>
    <t>детский дом</t>
  </si>
  <si>
    <t>Продуктивность психолого-педагогической деятельности</t>
  </si>
  <si>
    <t>Результаты психолого-педагогической деятельности по итогам мониторингов, проводимых организацией</t>
  </si>
  <si>
    <t xml:space="preserve">Стабильные положительные результаты </t>
  </si>
  <si>
    <t>Оцениваются:
 - качество психолого-педагогической диагностики, скрининговых и мониторинговых исследований;
 - результаты психокоррекционной и развивающей работы
(далее – Прил. № 1)</t>
  </si>
  <si>
    <t>Динамика результатов психолого-педагогической деятельности по итогам мониторингов, проводимых организацией</t>
  </si>
  <si>
    <t>Нет стабильных положительных результатов</t>
  </si>
  <si>
    <t xml:space="preserve">Положительная динамика результатов </t>
  </si>
  <si>
    <t xml:space="preserve">Нет динамики / отрицательная динамика результатов
</t>
  </si>
  <si>
    <t>Результаты психолого-педагогической деятельности по итогам мониторинга системы образования</t>
  </si>
  <si>
    <t>Примечание: учитывается при наличии мониторинга системы образования  
(далее – Прил. № 1)</t>
  </si>
  <si>
    <t>Продуктивность деятельности педагогического работника по развитию 
обучающихся/воспитанников</t>
  </si>
  <si>
    <t>Не 
осуществляется</t>
  </si>
  <si>
    <t>Осуществляется периодически, 
по запросу</t>
  </si>
  <si>
    <t>Осуществляется систематически, 
по плану</t>
  </si>
  <si>
    <t>Психологическая диагностика</t>
  </si>
  <si>
    <t>Качество психодиагностического инструментария</t>
  </si>
  <si>
    <t>Портфель не полный, научная обоснованность методик не подтверждена сопроводительной документацией</t>
  </si>
  <si>
    <t>Портфель содержит методики, подтвержденные соответствующей документацией</t>
  </si>
  <si>
    <t>Портфель содержит научно обоснованные, современные методики по актуальным направлениям психодиагностической работы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</si>
  <si>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</si>
  <si>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 и по итогам мониторинга системы образования  (в соответствии с п. 36 Порядка аттестации);</t>
  </si>
  <si>
    <t xml:space="preserve">Качество ведения
профессиональной документации
педагога-психолога </t>
  </si>
  <si>
    <t>(далее – Прил. № 6)</t>
  </si>
  <si>
    <t>Наличие
существенных
замечаний</t>
  </si>
  <si>
    <t>Наличие замечаний
по отдельным
документам</t>
  </si>
  <si>
    <t>Без замечаний</t>
  </si>
  <si>
    <t>2.4.</t>
  </si>
  <si>
    <t>2.5.</t>
  </si>
  <si>
    <t>Психолого-педагогическое сопровождение реализации основных /дополнительных/
специальных (коррекционных) образовательных программ</t>
  </si>
  <si>
    <t>Осуществляется
систематически,
по плану, охватывает
всех участников
образовательного
процесса</t>
  </si>
  <si>
    <t>Психологическое сопровождение перехода обучающихся/воспитанников на следующую ступень обучения и в период
адаптации</t>
  </si>
  <si>
    <t>2.6.</t>
  </si>
  <si>
    <t>2.7.</t>
  </si>
  <si>
    <t>Оформление психологопедагогических заключений и рекомендаций по материалам диагностических, скрининговых, мониторинговых исследований</t>
  </si>
  <si>
    <t>Заключения и
рекомендации
не оформляются</t>
  </si>
  <si>
    <t>Заключения и
рекомендации
оформляются
периодически</t>
  </si>
  <si>
    <t>Заключение и
рекомендации
оформляются
систематически,
являются основой для
дальнейшего
сопровождения
обучающихся/
воспитанников</t>
  </si>
  <si>
    <t>Психологическое консультирование</t>
  </si>
  <si>
    <t>Осуществляется периодически</t>
  </si>
  <si>
    <t>Осуществляется
систематически по
результатам
психологической
диагностики и по
запросу</t>
  </si>
  <si>
    <t>Осуществляется
систематически по
результатам
психологической
диагностики</t>
  </si>
  <si>
    <t>2.8.</t>
  </si>
  <si>
    <t>2.9.</t>
  </si>
  <si>
    <t>Осуществляется
систематически,
по плану</t>
  </si>
  <si>
    <t>2.10.</t>
  </si>
  <si>
    <t>2.12.</t>
  </si>
  <si>
    <t>2.11.</t>
  </si>
  <si>
    <t>2.13.</t>
  </si>
  <si>
    <t>2.14.</t>
  </si>
  <si>
    <t>Выявление и развитие способностей
обучающихся/воспитанников,
предпосылок одаренности</t>
  </si>
  <si>
    <t>Психологическая коррекция поведения и развития обучающихся/воспитанников с
ограниченными возможностями здоровья (ОВЗ)</t>
  </si>
  <si>
    <t xml:space="preserve">Профориентация обучающихся/воспитанников </t>
  </si>
  <si>
    <t>Оборудование кабинета педагога-психолога:</t>
  </si>
  <si>
    <t xml:space="preserve"> - оформление зоны индивидуальной работы с обучающимся/воспитанником;
 - наличие и оборудование зоны групповой работы,
 - документация;
 - специальная литература, детская литература;
 - инструментарий психологической диагностики;
 - коррекционно-развивающие пособия;
 - технические средства и др.
</t>
  </si>
  <si>
    <t>Частично
соответствует
требованиям</t>
  </si>
  <si>
    <t>Не
соответствует
требованиям</t>
  </si>
  <si>
    <t>Полностью
соответствует
требованиям</t>
  </si>
  <si>
    <t>Психологическое просвещение субъектов образовательного процесса</t>
  </si>
  <si>
    <t>Осуществляется
периодически, по
запросу</t>
  </si>
  <si>
    <t>2.15.</t>
  </si>
  <si>
    <t>2.16.</t>
  </si>
  <si>
    <t>Психологическая профилактика сохранения и укрепления психологического здоровья субъектов образовательного процесса</t>
  </si>
  <si>
    <t>Регулярно
осуществляет
взаимодействие со
специалистами и
администрацией
обр. организации</t>
  </si>
  <si>
    <t>Регулярно
взаимодействует со
специалистами
образовательной
организации,
администрацией,
специалистами
КДН, ПДН (ОПП)
и др.</t>
  </si>
  <si>
    <t>Дополнительные показатели для педагогов-психологов детских домов *</t>
  </si>
  <si>
    <t>2.18.</t>
  </si>
  <si>
    <t>2.17.</t>
  </si>
  <si>
    <t>2.19.</t>
  </si>
  <si>
    <t>2.20.</t>
  </si>
  <si>
    <t>2.21.</t>
  </si>
  <si>
    <t>Дополнительные показатели (пп. 2.17. – 2.21.) учитываются для педагогов-психологов детских домов</t>
  </si>
  <si>
    <t>Психологическое сопровождение семейного устройства детей.
Подготовка ребенка в приемную семью</t>
  </si>
  <si>
    <t>Подготовка кандидатов в замещающие родители</t>
  </si>
  <si>
    <t>Профилактика повторного сиротства</t>
  </si>
  <si>
    <t>Социальная адаптация выпускников</t>
  </si>
  <si>
    <t>Постинтернатное сопровождение выпускников</t>
  </si>
  <si>
    <t>Методы просветительской работы</t>
  </si>
  <si>
    <t>Методы профилактической работы</t>
  </si>
  <si>
    <t>Методы коррекционно-развивающей работы</t>
  </si>
  <si>
    <t>Название
 психолого-педагогического сопровождения
участников образовательного процесса</t>
  </si>
  <si>
    <t>Не
разрабатывает</t>
  </si>
  <si>
    <t>Вносит
частичный
вклад в
разработку
/ разрабатывает
периодически</t>
  </si>
  <si>
    <t>Является
основным
разработчиком /
разрабатывает
систематически</t>
  </si>
  <si>
    <t>Разрабатывает систематически.
Методические материалы
получают призовые места на
выставках и конкурсах</t>
  </si>
  <si>
    <t>Муниципальный уровень - 30б.</t>
  </si>
  <si>
    <t>Региональный/федеральный - 40б.</t>
  </si>
  <si>
    <t>Разработка программно-методических материалов психолого-педагогического сопровождения
образовательного процесса</t>
  </si>
  <si>
    <t>Проведение открытых занятий, мероприятий, 
мастер-классов и др.</t>
  </si>
  <si>
    <t>Участие в деятельности психолого-
медико-педагогических комиссий
(ПМПК), консилиумов (ПМПк) и др.</t>
  </si>
  <si>
    <t>Участвует
периодически,
по запросу</t>
  </si>
  <si>
    <t>Участвует
регулярно в работе
ПМПк обр.орг.</t>
  </si>
  <si>
    <t>Участвует
регулярно в
работе ПМПк
обр.орг. и
ПМПК</t>
  </si>
  <si>
    <t xml:space="preserve">Руководство методическими
объединениями (методическими/
предметно-цикловыми комиссиями) </t>
  </si>
  <si>
    <t>3.3.10.</t>
  </si>
  <si>
    <t>Примечание: 
Учитывается только муниципальный и региональный этап Всероссийского профессионального конкурса «Педагог-психолог России»</t>
  </si>
  <si>
    <t>340/280*
380/320**</t>
  </si>
  <si>
    <t>600/540*
660/600**</t>
  </si>
  <si>
    <t>**</t>
  </si>
  <si>
    <t>Минимальное (пороговое) количество баллов при наличии мониторинга системы образования на первую квалификационную категорию – 340 баллов, на высшую квалификационную категорию – 600 баллов</t>
  </si>
  <si>
    <t>Минимальное (пороговое) количество баллов с учетом дополнительных показателей для педагогов-психологов детских домов (пп. 2.17. – 2.21.) при наличии мониторинга системы образования на первую квалификационную категорию – 380 баллов, на высшую квалификационную категорию – 660 баллов</t>
  </si>
  <si>
    <r>
      <t xml:space="preserve"> - - - - - - - - - - - - - - - - - - - 
  </t>
    </r>
    <r>
      <rPr>
        <b/>
        <sz val="11"/>
        <color indexed="18"/>
        <rFont val="Arial"/>
        <family val="2"/>
      </rPr>
      <t xml:space="preserve">педагога-психолога
</t>
    </r>
    <r>
      <rPr>
        <sz val="11"/>
        <color indexed="18"/>
        <rFont val="Arial"/>
        <family val="2"/>
      </rPr>
      <t xml:space="preserve"> - - - - - - - - - - - - - - - - - - - </t>
    </r>
  </si>
  <si>
    <t># 7</t>
  </si>
  <si>
    <r>
      <t xml:space="preserve">только для пед-псих </t>
    </r>
    <r>
      <rPr>
        <sz val="11"/>
        <color indexed="36"/>
        <rFont val="Times New Roman"/>
        <family val="1"/>
      </rPr>
      <t xml:space="preserve">  =K20</t>
    </r>
  </si>
  <si>
    <t xml:space="preserve">  без учета мониторингов системы образования</t>
  </si>
  <si>
    <t xml:space="preserve">  с учетом мониторингов системы образования</t>
  </si>
  <si>
    <t xml:space="preserve"> общеобразовательная организация</t>
  </si>
  <si>
    <t xml:space="preserve"> дошкольная образовательная организация</t>
  </si>
  <si>
    <t xml:space="preserve"> организация професионального образования</t>
  </si>
  <si>
    <t xml:space="preserve"> организация дополнительного образования</t>
  </si>
  <si>
    <t>ДОО</t>
  </si>
  <si>
    <t>ОО</t>
  </si>
  <si>
    <t>ДОД</t>
  </si>
  <si>
    <t>ПО</t>
  </si>
  <si>
    <t>ДД</t>
  </si>
  <si>
    <t>для выбора</t>
  </si>
  <si>
    <t/>
  </si>
  <si>
    <t>Список "др.мониторинги":</t>
  </si>
  <si>
    <t>Наличие мониторингов системы образования (за межаттестационный период):</t>
  </si>
  <si>
    <t xml:space="preserve">Вид орг.: </t>
  </si>
  <si>
    <t>Результаты психолого-педагогической деятельности по итогам мониторингов системы образования</t>
  </si>
  <si>
    <t>Психологическая коррекционно-развивающая работа</t>
  </si>
  <si>
    <t>Психологическая поддержка детей-сирот и детей, оставшихся без попечения родителей</t>
  </si>
  <si>
    <t xml:space="preserve">Взаимодействие с администрацией, педагогами, учителями-дефектологами, социальными педагогами, классными руководителями, специалистами КДН, ПДН (ОПП)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</si>
</sst>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9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trike/>
      <sz val="11"/>
      <name val="Calibri Light"/>
      <family val="2"/>
    </font>
    <font>
      <i/>
      <strike/>
      <sz val="9"/>
      <name val="Calibri Light"/>
      <family val="2"/>
    </font>
    <font>
      <i/>
      <strike/>
      <sz val="7"/>
      <color indexed="36"/>
      <name val="Calibri Light"/>
      <family val="2"/>
    </font>
    <font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i/>
      <sz val="7"/>
      <color indexed="36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i/>
      <strike/>
      <sz val="9"/>
      <color indexed="17"/>
      <name val="Calibri Light"/>
      <family val="2"/>
    </font>
    <font>
      <sz val="10"/>
      <color indexed="49"/>
      <name val="Arial Cyr"/>
      <family val="0"/>
    </font>
    <font>
      <b/>
      <sz val="11"/>
      <color indexed="62"/>
      <name val="Times New Roman"/>
      <family val="1"/>
    </font>
    <font>
      <b/>
      <sz val="10"/>
      <color indexed="56"/>
      <name val="Arial Cyr"/>
      <family val="0"/>
    </font>
    <font>
      <sz val="8"/>
      <color indexed="57"/>
      <name val="Arial Cyr"/>
      <family val="0"/>
    </font>
    <font>
      <sz val="8"/>
      <color indexed="49"/>
      <name val="Arial Cyr"/>
      <family val="0"/>
    </font>
    <font>
      <b/>
      <sz val="8"/>
      <color indexed="56"/>
      <name val="Arial Cyr"/>
      <family val="0"/>
    </font>
    <font>
      <i/>
      <sz val="8"/>
      <color indexed="10"/>
      <name val="Arial Cyr"/>
      <family val="0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i/>
      <sz val="8"/>
      <color indexed="23"/>
      <name val="Arial Cyr"/>
      <family val="0"/>
    </font>
    <font>
      <sz val="10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i/>
      <strike/>
      <sz val="7"/>
      <color rgb="FF7030A0"/>
      <name val="Calibri Light"/>
      <family val="2"/>
    </font>
    <font>
      <i/>
      <strike/>
      <sz val="9"/>
      <color rgb="FF00B050"/>
      <name val="Calibri Light"/>
      <family val="2"/>
    </font>
    <font>
      <sz val="10"/>
      <color theme="4" tint="-0.24997000396251678"/>
      <name val="Arial Cyr"/>
      <family val="0"/>
    </font>
    <font>
      <b/>
      <sz val="11"/>
      <color rgb="FF333399"/>
      <name val="Times New Roman"/>
      <family val="1"/>
    </font>
    <font>
      <b/>
      <sz val="10"/>
      <color rgb="FF002060"/>
      <name val="Arial Cyr"/>
      <family val="0"/>
    </font>
    <font>
      <sz val="8"/>
      <color theme="9" tint="-0.24997000396251678"/>
      <name val="Arial Cyr"/>
      <family val="0"/>
    </font>
    <font>
      <sz val="8"/>
      <color theme="4" tint="-0.24997000396251678"/>
      <name val="Arial Cyr"/>
      <family val="0"/>
    </font>
    <font>
      <b/>
      <sz val="8"/>
      <color rgb="FF002060"/>
      <name val="Arial Cyr"/>
      <family val="0"/>
    </font>
    <font>
      <b/>
      <sz val="10"/>
      <color rgb="FFFF0000"/>
      <name val="Arial Cyr"/>
      <family val="0"/>
    </font>
    <font>
      <i/>
      <sz val="8"/>
      <color rgb="FFFF0000"/>
      <name val="Arial Cyr"/>
      <family val="0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i/>
      <sz val="8"/>
      <color theme="1" tint="0.34999001026153564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0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32" fillId="0" borderId="23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3" fillId="0" borderId="0" xfId="0" applyFont="1" applyAlignment="1" applyProtection="1">
      <alignment/>
      <protection hidden="1"/>
    </xf>
    <xf numFmtId="0" fontId="224" fillId="36" borderId="0" xfId="54" applyFont="1" applyFill="1" applyBorder="1" applyAlignment="1" applyProtection="1">
      <alignment vertical="center"/>
      <protection hidden="1"/>
    </xf>
    <xf numFmtId="0" fontId="224" fillId="34" borderId="0" xfId="54" applyFont="1" applyFill="1" applyBorder="1" applyAlignment="1" applyProtection="1">
      <alignment vertical="center"/>
      <protection hidden="1"/>
    </xf>
    <xf numFmtId="0" fontId="224" fillId="47" borderId="0" xfId="54" applyFont="1" applyFill="1" applyBorder="1" applyAlignment="1" applyProtection="1">
      <alignment vertical="center"/>
      <protection hidden="1"/>
    </xf>
    <xf numFmtId="0" fontId="225" fillId="0" borderId="0" xfId="0" applyFont="1" applyFill="1" applyBorder="1" applyAlignment="1" applyProtection="1">
      <alignment/>
      <protection hidden="1"/>
    </xf>
    <xf numFmtId="0" fontId="225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6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7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8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0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3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6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3" fillId="0" borderId="0" xfId="0" applyFont="1" applyAlignment="1" applyProtection="1">
      <alignment horizontal="center" vertical="center"/>
      <protection hidden="1"/>
    </xf>
    <xf numFmtId="0" fontId="232" fillId="3" borderId="0" xfId="0" applyFont="1" applyFill="1" applyAlignment="1" applyProtection="1">
      <alignment horizontal="center"/>
      <protection hidden="1"/>
    </xf>
    <xf numFmtId="0" fontId="232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3" fillId="0" borderId="0" xfId="0" applyFont="1" applyBorder="1" applyAlignment="1" applyProtection="1">
      <alignment horizontal="right" vertical="center"/>
      <protection hidden="1"/>
    </xf>
    <xf numFmtId="0" fontId="223" fillId="0" borderId="0" xfId="0" applyFont="1" applyBorder="1" applyAlignment="1" applyProtection="1">
      <alignment horizontal="left" vertical="center"/>
      <protection hidden="1"/>
    </xf>
    <xf numFmtId="0" fontId="233" fillId="0" borderId="0" xfId="0" applyFont="1" applyBorder="1" applyAlignment="1" applyProtection="1">
      <alignment horizontal="right" vertical="center"/>
      <protection hidden="1"/>
    </xf>
    <xf numFmtId="0" fontId="233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4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84" fillId="0" borderId="0" xfId="0" applyFont="1" applyBorder="1" applyAlignment="1" applyProtection="1">
      <alignment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5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6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7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38" fillId="0" borderId="0" xfId="0" applyFont="1" applyFill="1" applyAlignment="1" applyProtection="1">
      <alignment horizontal="left"/>
      <protection hidden="1"/>
    </xf>
    <xf numFmtId="0" fontId="239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7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center" vertical="center"/>
      <protection hidden="1"/>
    </xf>
    <xf numFmtId="0" fontId="240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1" fillId="0" borderId="12" xfId="0" applyFont="1" applyBorder="1" applyAlignment="1" applyProtection="1">
      <alignment horizontal="left"/>
      <protection hidden="1"/>
    </xf>
    <xf numFmtId="0" fontId="238" fillId="51" borderId="0" xfId="0" applyFont="1" applyFill="1" applyAlignment="1" applyProtection="1">
      <alignment horizontal="left"/>
      <protection hidden="1"/>
    </xf>
    <xf numFmtId="0" fontId="242" fillId="50" borderId="23" xfId="0" applyFont="1" applyFill="1" applyBorder="1" applyAlignment="1" applyProtection="1">
      <alignment horizontal="center" vertical="center" wrapText="1"/>
      <protection hidden="1"/>
    </xf>
    <xf numFmtId="0" fontId="241" fillId="0" borderId="0" xfId="0" applyFont="1" applyBorder="1" applyAlignment="1" applyProtection="1">
      <alignment/>
      <protection hidden="1"/>
    </xf>
    <xf numFmtId="0" fontId="243" fillId="0" borderId="0" xfId="0" applyFont="1" applyBorder="1" applyAlignment="1" applyProtection="1">
      <alignment horizontal="left" vertical="top" wrapText="1" indent="1"/>
      <protection hidden="1"/>
    </xf>
    <xf numFmtId="0" fontId="244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2" fillId="3" borderId="23" xfId="0" applyFont="1" applyFill="1" applyBorder="1" applyAlignment="1" applyProtection="1">
      <alignment horizontal="center" vertical="center" wrapText="1"/>
      <protection hidden="1"/>
    </xf>
    <xf numFmtId="0" fontId="238" fillId="0" borderId="0" xfId="0" applyFont="1" applyFill="1" applyAlignment="1" applyProtection="1">
      <alignment horizontal="center" vertical="top" wrapText="1"/>
      <protection hidden="1"/>
    </xf>
    <xf numFmtId="0" fontId="245" fillId="50" borderId="23" xfId="0" applyFont="1" applyFill="1" applyBorder="1" applyAlignment="1" applyProtection="1">
      <alignment horizontal="left" vertical="center"/>
      <protection hidden="1"/>
    </xf>
    <xf numFmtId="0" fontId="244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4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6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8" fillId="0" borderId="25" xfId="0" applyFont="1" applyBorder="1" applyAlignment="1">
      <alignment horizontal="center" wrapText="1"/>
    </xf>
    <xf numFmtId="0" fontId="246" fillId="0" borderId="22" xfId="0" applyFont="1" applyBorder="1" applyAlignment="1" applyProtection="1">
      <alignment horizontal="center"/>
      <protection hidden="1"/>
    </xf>
    <xf numFmtId="0" fontId="247" fillId="0" borderId="14" xfId="0" applyFont="1" applyBorder="1" applyAlignment="1" applyProtection="1">
      <alignment wrapText="1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8" fillId="23" borderId="0" xfId="0" applyFont="1" applyFill="1" applyAlignment="1" applyProtection="1">
      <alignment/>
      <protection hidden="1"/>
    </xf>
    <xf numFmtId="0" fontId="249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0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1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2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8" fillId="50" borderId="0" xfId="0" applyFont="1" applyFill="1" applyBorder="1" applyAlignment="1" applyProtection="1">
      <alignment horizontal="right"/>
      <protection hidden="1"/>
    </xf>
    <xf numFmtId="0" fontId="238" fillId="50" borderId="0" xfId="0" applyFont="1" applyFill="1" applyBorder="1" applyAlignment="1" applyProtection="1">
      <alignment horizontal="left" vertical="center"/>
      <protection hidden="1"/>
    </xf>
    <xf numFmtId="0" fontId="238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3" fillId="50" borderId="0" xfId="0" applyFont="1" applyFill="1" applyBorder="1" applyAlignment="1" applyProtection="1">
      <alignment horizontal="left" vertical="top"/>
      <protection hidden="1"/>
    </xf>
    <xf numFmtId="0" fontId="238" fillId="51" borderId="0" xfId="0" applyFont="1" applyFill="1" applyBorder="1" applyAlignment="1" applyProtection="1">
      <alignment horizontal="left" vertical="top"/>
      <protection hidden="1"/>
    </xf>
    <xf numFmtId="0" fontId="254" fillId="0" borderId="12" xfId="0" applyFont="1" applyBorder="1" applyAlignment="1" applyProtection="1">
      <alignment/>
      <protection hidden="1"/>
    </xf>
    <xf numFmtId="0" fontId="254" fillId="0" borderId="0" xfId="0" applyFont="1" applyBorder="1" applyAlignment="1" applyProtection="1">
      <alignment/>
      <protection hidden="1"/>
    </xf>
    <xf numFmtId="0" fontId="255" fillId="50" borderId="12" xfId="0" applyFont="1" applyFill="1" applyBorder="1" applyAlignment="1" applyProtection="1">
      <alignment horizontal="right"/>
      <protection hidden="1"/>
    </xf>
    <xf numFmtId="0" fontId="226" fillId="0" borderId="12" xfId="0" applyFont="1" applyBorder="1" applyAlignment="1" applyProtection="1">
      <alignment/>
      <protection hidden="1"/>
    </xf>
    <xf numFmtId="0" fontId="226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6" fillId="5" borderId="15" xfId="42" applyFont="1" applyFill="1" applyBorder="1" applyAlignment="1" applyProtection="1">
      <alignment horizontal="center"/>
      <protection hidden="1"/>
    </xf>
    <xf numFmtId="0" fontId="256" fillId="5" borderId="12" xfId="42" applyFont="1" applyFill="1" applyBorder="1" applyAlignment="1" applyProtection="1">
      <alignment horizontal="center"/>
      <protection hidden="1"/>
    </xf>
    <xf numFmtId="0" fontId="256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7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8" fillId="0" borderId="17" xfId="0" applyFont="1" applyBorder="1" applyAlignment="1" applyProtection="1">
      <alignment/>
      <protection locked="0"/>
    </xf>
    <xf numFmtId="0" fontId="259" fillId="0" borderId="0" xfId="0" applyFont="1" applyAlignment="1" applyProtection="1">
      <alignment/>
      <protection hidden="1"/>
    </xf>
    <xf numFmtId="0" fontId="260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1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2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3" fillId="4" borderId="0" xfId="0" applyFont="1" applyFill="1" applyBorder="1" applyAlignment="1" applyProtection="1">
      <alignment horizontal="left"/>
      <protection hidden="1"/>
    </xf>
    <xf numFmtId="0" fontId="263" fillId="4" borderId="0" xfId="0" applyFont="1" applyFill="1" applyBorder="1" applyAlignment="1" applyProtection="1">
      <alignment horizontal="center"/>
      <protection hidden="1"/>
    </xf>
    <xf numFmtId="0" fontId="263" fillId="4" borderId="0" xfId="0" applyFont="1" applyFill="1" applyBorder="1" applyAlignment="1" applyProtection="1">
      <alignment/>
      <protection hidden="1"/>
    </xf>
    <xf numFmtId="0" fontId="263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4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3" fillId="4" borderId="0" xfId="0" applyFont="1" applyFill="1" applyBorder="1" applyAlignment="1" applyProtection="1">
      <alignment horizontal="left" vertical="top"/>
      <protection hidden="1"/>
    </xf>
    <xf numFmtId="0" fontId="263" fillId="4" borderId="0" xfId="0" applyFont="1" applyFill="1" applyBorder="1" applyAlignment="1" applyProtection="1">
      <alignment horizontal="center" vertical="top"/>
      <protection hidden="1"/>
    </xf>
    <xf numFmtId="0" fontId="263" fillId="4" borderId="0" xfId="0" applyFont="1" applyFill="1" applyBorder="1" applyAlignment="1" applyProtection="1">
      <alignment vertical="top"/>
      <protection hidden="1"/>
    </xf>
    <xf numFmtId="0" fontId="263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5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6" fillId="0" borderId="0" xfId="0" applyFont="1" applyAlignment="1" applyProtection="1">
      <alignment/>
      <protection hidden="1"/>
    </xf>
    <xf numFmtId="0" fontId="267" fillId="4" borderId="34" xfId="0" applyFont="1" applyFill="1" applyBorder="1" applyAlignment="1" applyProtection="1">
      <alignment horizontal="right"/>
      <protection hidden="1"/>
    </xf>
    <xf numFmtId="0" fontId="267" fillId="4" borderId="34" xfId="0" applyFont="1" applyFill="1" applyBorder="1" applyAlignment="1" applyProtection="1">
      <alignment horizontal="center"/>
      <protection hidden="1"/>
    </xf>
    <xf numFmtId="0" fontId="267" fillId="4" borderId="34" xfId="0" applyFont="1" applyFill="1" applyBorder="1" applyAlignment="1" applyProtection="1">
      <alignment horizontal="left"/>
      <protection hidden="1"/>
    </xf>
    <xf numFmtId="0" fontId="267" fillId="4" borderId="34" xfId="0" applyFont="1" applyFill="1" applyBorder="1" applyAlignment="1" applyProtection="1">
      <alignment/>
      <protection hidden="1"/>
    </xf>
    <xf numFmtId="0" fontId="267" fillId="4" borderId="36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268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9" fillId="5" borderId="11" xfId="0" applyFont="1" applyFill="1" applyBorder="1" applyAlignment="1" applyProtection="1">
      <alignment horizontal="left"/>
      <protection hidden="1"/>
    </xf>
    <xf numFmtId="0" fontId="270" fillId="0" borderId="17" xfId="0" applyFont="1" applyBorder="1" applyAlignment="1" applyProtection="1">
      <alignment horizontal="center" vertical="center"/>
      <protection hidden="1"/>
    </xf>
    <xf numFmtId="0" fontId="271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7" fillId="0" borderId="0" xfId="0" applyFont="1" applyBorder="1" applyAlignment="1" applyProtection="1">
      <alignment wrapText="1"/>
      <protection hidden="1"/>
    </xf>
    <xf numFmtId="0" fontId="272" fillId="5" borderId="0" xfId="0" applyFont="1" applyFill="1" applyBorder="1" applyAlignment="1" applyProtection="1">
      <alignment horizontal="center"/>
      <protection hidden="1"/>
    </xf>
    <xf numFmtId="0" fontId="273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9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3" fillId="4" borderId="37" xfId="0" applyFont="1" applyFill="1" applyBorder="1" applyAlignment="1" applyProtection="1">
      <alignment horizontal="center"/>
      <protection hidden="1"/>
    </xf>
    <xf numFmtId="0" fontId="263" fillId="4" borderId="37" xfId="0" applyFont="1" applyFill="1" applyBorder="1" applyAlignment="1" applyProtection="1">
      <alignment horizontal="left"/>
      <protection hidden="1"/>
    </xf>
    <xf numFmtId="0" fontId="263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3" fillId="3" borderId="39" xfId="0" applyFont="1" applyFill="1" applyBorder="1" applyAlignment="1" applyProtection="1">
      <alignment horizontal="center"/>
      <protection hidden="1"/>
    </xf>
    <xf numFmtId="0" fontId="263" fillId="3" borderId="39" xfId="0" applyFont="1" applyFill="1" applyBorder="1" applyAlignment="1" applyProtection="1">
      <alignment horizontal="left"/>
      <protection hidden="1"/>
    </xf>
    <xf numFmtId="0" fontId="263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6" fillId="3" borderId="34" xfId="0" applyFont="1" applyFill="1" applyBorder="1" applyAlignment="1" applyProtection="1">
      <alignment horizontal="center"/>
      <protection hidden="1"/>
    </xf>
    <xf numFmtId="0" fontId="266" fillId="3" borderId="34" xfId="0" applyFont="1" applyFill="1" applyBorder="1" applyAlignment="1" applyProtection="1">
      <alignment horizontal="left"/>
      <protection hidden="1"/>
    </xf>
    <xf numFmtId="0" fontId="266" fillId="3" borderId="34" xfId="0" applyFont="1" applyFill="1" applyBorder="1" applyAlignment="1" applyProtection="1">
      <alignment/>
      <protection hidden="1"/>
    </xf>
    <xf numFmtId="0" fontId="266" fillId="3" borderId="34" xfId="0" applyFont="1" applyFill="1" applyBorder="1" applyAlignment="1" applyProtection="1">
      <alignment horizontal="right"/>
      <protection hidden="1"/>
    </xf>
    <xf numFmtId="0" fontId="274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5" fillId="11" borderId="27" xfId="0" applyFont="1" applyFill="1" applyBorder="1" applyAlignment="1" applyProtection="1">
      <alignment vertical="top" wrapText="1"/>
      <protection hidden="1"/>
    </xf>
    <xf numFmtId="0" fontId="244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6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77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78" fillId="11" borderId="0" xfId="0" applyFont="1" applyFill="1" applyBorder="1" applyAlignment="1" applyProtection="1">
      <alignment horizontal="left" vertical="top"/>
      <protection hidden="1"/>
    </xf>
    <xf numFmtId="0" fontId="279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4" fillId="2" borderId="17" xfId="0" applyFont="1" applyFill="1" applyBorder="1" applyAlignment="1" applyProtection="1">
      <alignment vertical="top" wrapText="1"/>
      <protection hidden="1"/>
    </xf>
    <xf numFmtId="0" fontId="280" fillId="0" borderId="0" xfId="0" applyFont="1" applyBorder="1" applyAlignment="1" applyProtection="1">
      <alignment vertical="top" wrapText="1"/>
      <protection hidden="1"/>
    </xf>
    <xf numFmtId="0" fontId="280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1" fillId="0" borderId="31" xfId="0" applyFont="1" applyBorder="1" applyAlignment="1" applyProtection="1">
      <alignment horizontal="center" vertical="center" wrapText="1"/>
      <protection hidden="1"/>
    </xf>
    <xf numFmtId="0" fontId="241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0" fillId="17" borderId="0" xfId="0" applyFont="1" applyFill="1" applyBorder="1" applyAlignment="1" applyProtection="1">
      <alignment horizontal="right" vertical="center"/>
      <protection hidden="1"/>
    </xf>
    <xf numFmtId="0" fontId="277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2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1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2" fillId="0" borderId="0" xfId="0" applyFont="1" applyAlignment="1" applyProtection="1">
      <alignment/>
      <protection hidden="1"/>
    </xf>
    <xf numFmtId="0" fontId="282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/>
      <protection hidden="1"/>
    </xf>
    <xf numFmtId="0" fontId="282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70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2" fillId="35" borderId="17" xfId="0" applyFont="1" applyFill="1" applyBorder="1" applyAlignment="1" applyProtection="1">
      <alignment horizontal="center"/>
      <protection hidden="1"/>
    </xf>
    <xf numFmtId="0" fontId="279" fillId="35" borderId="0" xfId="0" applyFont="1" applyFill="1" applyAlignment="1" applyProtection="1">
      <alignment horizontal="center"/>
      <protection hidden="1"/>
    </xf>
    <xf numFmtId="0" fontId="282" fillId="35" borderId="0" xfId="0" applyFont="1" applyFill="1" applyAlignment="1" applyProtection="1">
      <alignment horizontal="center"/>
      <protection hidden="1"/>
    </xf>
    <xf numFmtId="0" fontId="12" fillId="48" borderId="31" xfId="0" applyFont="1" applyFill="1" applyBorder="1" applyAlignment="1" applyProtection="1">
      <alignment horizontal="center" vertical="center" wrapText="1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283" fillId="50" borderId="0" xfId="0" applyFont="1" applyFill="1" applyBorder="1" applyAlignment="1" applyProtection="1">
      <alignment horizontal="left"/>
      <protection hidden="1"/>
    </xf>
    <xf numFmtId="0" fontId="124" fillId="0" borderId="0" xfId="0" applyFont="1" applyFill="1" applyBorder="1" applyAlignment="1" applyProtection="1">
      <alignment horizontal="left" vertical="top" indent="1"/>
      <protection hidden="1"/>
    </xf>
    <xf numFmtId="0" fontId="284" fillId="0" borderId="0" xfId="0" applyFont="1" applyFill="1" applyBorder="1" applyAlignment="1" applyProtection="1">
      <alignment horizontal="center" vertical="center"/>
      <protection hidden="1"/>
    </xf>
    <xf numFmtId="0" fontId="125" fillId="51" borderId="0" xfId="0" applyFont="1" applyFill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226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Border="1" applyAlignment="1" applyProtection="1">
      <alignment horizontal="right" vertical="top"/>
      <protection hidden="1"/>
    </xf>
    <xf numFmtId="0" fontId="16" fillId="0" borderId="19" xfId="0" applyFont="1" applyBorder="1" applyAlignment="1" applyProtection="1">
      <alignment horizontal="right" vertical="top"/>
      <protection hidden="1"/>
    </xf>
    <xf numFmtId="0" fontId="32" fillId="0" borderId="16" xfId="0" applyFont="1" applyFill="1" applyBorder="1" applyAlignment="1" applyProtection="1">
      <alignment horizontal="left" vertical="top"/>
      <protection hidden="1"/>
    </xf>
    <xf numFmtId="0" fontId="32" fillId="0" borderId="24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vertical="center"/>
      <protection hidden="1"/>
    </xf>
    <xf numFmtId="0" fontId="285" fillId="4" borderId="34" xfId="0" applyFont="1" applyFill="1" applyBorder="1" applyAlignment="1" applyProtection="1">
      <alignment horizontal="right"/>
      <protection hidden="1"/>
    </xf>
    <xf numFmtId="0" fontId="278" fillId="11" borderId="22" xfId="0" applyFont="1" applyFill="1" applyBorder="1" applyAlignment="1" applyProtection="1">
      <alignment horizontal="center" vertical="center" wrapText="1"/>
      <protection hidden="1"/>
    </xf>
    <xf numFmtId="0" fontId="17" fillId="34" borderId="13" xfId="0" applyFont="1" applyFill="1" applyBorder="1" applyAlignment="1" applyProtection="1">
      <alignment horizontal="left" vertical="center"/>
      <protection hidden="1"/>
    </xf>
    <xf numFmtId="0" fontId="286" fillId="0" borderId="12" xfId="0" applyFont="1" applyFill="1" applyBorder="1" applyAlignment="1" applyProtection="1">
      <alignment horizontal="right" vertical="center" indent="1"/>
      <protection hidden="1"/>
    </xf>
    <xf numFmtId="0" fontId="286" fillId="0" borderId="0" xfId="0" applyFont="1" applyFill="1" applyBorder="1" applyAlignment="1" applyProtection="1">
      <alignment horizontal="right" vertical="center" indent="1"/>
      <protection hidden="1"/>
    </xf>
    <xf numFmtId="0" fontId="285" fillId="4" borderId="36" xfId="0" applyFont="1" applyFill="1" applyBorder="1" applyAlignment="1" applyProtection="1">
      <alignment horizontal="left"/>
      <protection hidden="1"/>
    </xf>
    <xf numFmtId="0" fontId="287" fillId="4" borderId="34" xfId="0" applyFont="1" applyFill="1" applyBorder="1" applyAlignment="1" applyProtection="1">
      <alignment horizontal="center"/>
      <protection hidden="1"/>
    </xf>
    <xf numFmtId="0" fontId="287" fillId="4" borderId="34" xfId="0" applyFont="1" applyFill="1" applyBorder="1" applyAlignment="1" applyProtection="1">
      <alignment horizontal="left"/>
      <protection hidden="1"/>
    </xf>
    <xf numFmtId="0" fontId="287" fillId="4" borderId="36" xfId="0" applyFont="1" applyFill="1" applyBorder="1" applyAlignment="1" applyProtection="1">
      <alignment horizontal="left"/>
      <protection hidden="1"/>
    </xf>
    <xf numFmtId="0" fontId="288" fillId="4" borderId="0" xfId="0" applyFont="1" applyFill="1" applyBorder="1" applyAlignment="1" applyProtection="1">
      <alignment horizontal="left"/>
      <protection hidden="1"/>
    </xf>
    <xf numFmtId="0" fontId="288" fillId="4" borderId="0" xfId="0" applyFont="1" applyFill="1" applyBorder="1" applyAlignment="1" applyProtection="1">
      <alignment horizontal="left" vertical="top"/>
      <protection hidden="1"/>
    </xf>
    <xf numFmtId="0" fontId="289" fillId="4" borderId="34" xfId="0" applyFont="1" applyFill="1" applyBorder="1" applyAlignment="1" applyProtection="1">
      <alignment horizontal="right"/>
      <protection hidden="1"/>
    </xf>
    <xf numFmtId="0" fontId="290" fillId="4" borderId="34" xfId="0" applyFont="1" applyFill="1" applyBorder="1" applyAlignment="1" applyProtection="1">
      <alignment horizontal="right"/>
      <protection hidden="1"/>
    </xf>
    <xf numFmtId="0" fontId="34" fillId="4" borderId="34" xfId="0" applyFont="1" applyFill="1" applyBorder="1" applyAlignment="1" applyProtection="1">
      <alignment/>
      <protection hidden="1"/>
    </xf>
    <xf numFmtId="0" fontId="41" fillId="2" borderId="17" xfId="0" applyFon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237" fillId="0" borderId="19" xfId="0" applyFont="1" applyFill="1" applyBorder="1" applyAlignment="1" applyProtection="1">
      <alignment horizontal="left"/>
      <protection hidden="1"/>
    </xf>
    <xf numFmtId="0" fontId="235" fillId="0" borderId="0" xfId="0" applyFont="1" applyFill="1" applyBorder="1" applyAlignment="1" applyProtection="1">
      <alignment horizontal="right" vertical="center"/>
      <protection hidden="1"/>
    </xf>
    <xf numFmtId="0" fontId="291" fillId="44" borderId="17" xfId="0" applyFont="1" applyFill="1" applyBorder="1" applyAlignment="1" applyProtection="1">
      <alignment horizontal="center" vertical="center"/>
      <protection hidden="1"/>
    </xf>
    <xf numFmtId="0" fontId="226" fillId="0" borderId="0" xfId="0" applyFont="1" applyAlignment="1" applyProtection="1">
      <alignment horizontal="center"/>
      <protection hidden="1"/>
    </xf>
    <xf numFmtId="0" fontId="292" fillId="0" borderId="0" xfId="0" applyFont="1" applyAlignment="1" applyProtection="1">
      <alignment horizontal="center"/>
      <protection hidden="1"/>
    </xf>
    <xf numFmtId="0" fontId="291" fillId="43" borderId="17" xfId="0" applyFont="1" applyFill="1" applyBorder="1" applyAlignment="1" applyProtection="1">
      <alignment horizontal="center" vertical="center"/>
      <protection hidden="1"/>
    </xf>
    <xf numFmtId="0" fontId="292" fillId="0" borderId="14" xfId="0" applyFont="1" applyBorder="1" applyAlignment="1" applyProtection="1">
      <alignment horizontal="left"/>
      <protection hidden="1"/>
    </xf>
    <xf numFmtId="0" fontId="226" fillId="42" borderId="0" xfId="0" applyFont="1" applyFill="1" applyAlignment="1" applyProtection="1">
      <alignment horizontal="center"/>
      <protection hidden="1"/>
    </xf>
    <xf numFmtId="0" fontId="241" fillId="0" borderId="0" xfId="0" applyFont="1" applyAlignment="1" applyProtection="1">
      <alignment/>
      <protection hidden="1"/>
    </xf>
    <xf numFmtId="0" fontId="292" fillId="35" borderId="0" xfId="0" applyFont="1" applyFill="1" applyAlignment="1" applyProtection="1">
      <alignment horizontal="left"/>
      <protection hidden="1"/>
    </xf>
    <xf numFmtId="17" fontId="112" fillId="5" borderId="0" xfId="0" applyNumberFormat="1" applyFont="1" applyFill="1" applyAlignment="1" applyProtection="1">
      <alignment/>
      <protection hidden="1"/>
    </xf>
    <xf numFmtId="0" fontId="90" fillId="0" borderId="14" xfId="0" applyFont="1" applyBorder="1" applyAlignment="1" applyProtection="1">
      <alignment horizontal="left" vertical="center" indent="2"/>
      <protection hidden="1"/>
    </xf>
    <xf numFmtId="0" fontId="293" fillId="2" borderId="0" xfId="0" applyFont="1" applyFill="1" applyBorder="1" applyAlignment="1">
      <alignment horizontal="center" vertical="top" wrapText="1"/>
    </xf>
    <xf numFmtId="0" fontId="294" fillId="0" borderId="0" xfId="0" applyFont="1" applyBorder="1" applyAlignment="1" applyProtection="1">
      <alignment horizontal="left"/>
      <protection hidden="1"/>
    </xf>
    <xf numFmtId="0" fontId="295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4" fillId="0" borderId="0" xfId="0" applyFont="1" applyBorder="1" applyAlignment="1" applyProtection="1">
      <alignment horizontal="left" wrapText="1" indent="1"/>
      <protection hidden="1"/>
    </xf>
    <xf numFmtId="0" fontId="296" fillId="0" borderId="0" xfId="0" applyFont="1" applyFill="1" applyBorder="1" applyAlignment="1" applyProtection="1">
      <alignment horizontal="center" vertical="top" wrapText="1"/>
      <protection hidden="1"/>
    </xf>
    <xf numFmtId="0" fontId="296" fillId="0" borderId="13" xfId="0" applyFont="1" applyFill="1" applyBorder="1" applyAlignment="1" applyProtection="1">
      <alignment horizontal="center" vertical="top" wrapTex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7" fillId="0" borderId="12" xfId="0" applyFont="1" applyFill="1" applyBorder="1" applyAlignment="1" applyProtection="1">
      <alignment horizontal="left" vertical="top" wrapText="1" indent="2"/>
      <protection hidden="1"/>
    </xf>
    <xf numFmtId="0" fontId="297" fillId="0" borderId="0" xfId="0" applyFont="1" applyFill="1" applyBorder="1" applyAlignment="1" applyProtection="1">
      <alignment horizontal="left" vertical="top" wrapText="1" indent="2"/>
      <protection hidden="1"/>
    </xf>
    <xf numFmtId="0" fontId="297" fillId="0" borderId="13" xfId="0" applyFont="1" applyFill="1" applyBorder="1" applyAlignment="1" applyProtection="1">
      <alignment horizontal="left" vertical="top" wrapText="1" indent="2"/>
      <protection hidden="1"/>
    </xf>
    <xf numFmtId="0" fontId="295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34" fillId="2" borderId="0" xfId="0" applyFont="1" applyFill="1" applyBorder="1" applyAlignment="1" applyProtection="1">
      <alignment horizontal="center" vertical="center"/>
      <protection hidden="1" locked="0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235" fillId="0" borderId="0" xfId="0" applyFont="1" applyFill="1" applyBorder="1" applyAlignment="1" applyProtection="1">
      <alignment horizontal="center" vertical="center"/>
      <protection hidden="1"/>
    </xf>
    <xf numFmtId="0" fontId="235" fillId="0" borderId="13" xfId="0" applyFont="1" applyFill="1" applyBorder="1" applyAlignment="1" applyProtection="1">
      <alignment horizontal="center" vertical="center"/>
      <protection hidden="1"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0" fillId="2" borderId="0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47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98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5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73" fillId="0" borderId="0" xfId="0" applyFont="1" applyFill="1" applyAlignment="1" applyProtection="1">
      <alignment horizontal="left" vertical="top" wrapText="1"/>
      <protection hidden="1"/>
    </xf>
    <xf numFmtId="0" fontId="16" fillId="0" borderId="15" xfId="0" applyFont="1" applyBorder="1" applyAlignment="1" applyProtection="1">
      <alignment horizontal="left" vertical="center" wrapText="1"/>
      <protection hidden="1"/>
    </xf>
    <xf numFmtId="0" fontId="16" fillId="0" borderId="19" xfId="0" applyFont="1" applyBorder="1" applyAlignment="1" applyProtection="1">
      <alignment horizontal="left" vertical="center" wrapText="1"/>
      <protection hidden="1"/>
    </xf>
    <xf numFmtId="0" fontId="16" fillId="0" borderId="26" xfId="0" applyFont="1" applyBorder="1" applyAlignment="1" applyProtection="1">
      <alignment horizontal="left" vertical="center" wrapText="1"/>
      <protection hidden="1"/>
    </xf>
    <xf numFmtId="0" fontId="16" fillId="0" borderId="12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13" xfId="0" applyFont="1" applyBorder="1" applyAlignment="1" applyProtection="1">
      <alignment horizontal="left" vertical="center" wrapText="1"/>
      <protection hidden="1"/>
    </xf>
    <xf numFmtId="0" fontId="16" fillId="0" borderId="23" xfId="0" applyFont="1" applyBorder="1" applyAlignment="1" applyProtection="1">
      <alignment horizontal="left" vertical="center" wrapText="1"/>
      <protection hidden="1"/>
    </xf>
    <xf numFmtId="0" fontId="16" fillId="0" borderId="14" xfId="0" applyFont="1" applyBorder="1" applyAlignment="1" applyProtection="1">
      <alignment horizontal="left" vertical="center" wrapText="1"/>
      <protection hidden="1"/>
    </xf>
    <xf numFmtId="0" fontId="16" fillId="0" borderId="18" xfId="0" applyFont="1" applyBorder="1" applyAlignment="1" applyProtection="1">
      <alignment horizontal="left" vertical="center" wrapTex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 applyProtection="1">
      <alignment horizontal="center" vertical="top"/>
      <protection hidden="1"/>
    </xf>
    <xf numFmtId="0" fontId="82" fillId="0" borderId="14" xfId="0" applyFont="1" applyBorder="1" applyAlignment="1" applyProtection="1">
      <alignment horizontal="center" vertical="top"/>
      <protection hidden="1"/>
    </xf>
    <xf numFmtId="0" fontId="82" fillId="0" borderId="18" xfId="0" applyFont="1" applyBorder="1" applyAlignment="1" applyProtection="1">
      <alignment horizontal="center" vertical="top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 applyProtection="1">
      <alignment horizontal="left" vertical="top" indent="1"/>
      <protection hidden="1"/>
    </xf>
    <xf numFmtId="0" fontId="82" fillId="0" borderId="13" xfId="0" applyFont="1" applyBorder="1" applyAlignment="1" applyProtection="1">
      <alignment horizontal="left" vertical="top" indent="1"/>
      <protection hidden="1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32" fillId="0" borderId="16" xfId="0" applyFont="1" applyBorder="1" applyAlignment="1" applyProtection="1">
      <alignment horizontal="center" vertical="center"/>
      <protection hidden="1"/>
    </xf>
    <xf numFmtId="0" fontId="32" fillId="0" borderId="24" xfId="0" applyFont="1" applyBorder="1" applyAlignment="1" applyProtection="1">
      <alignment horizontal="center" vertical="center"/>
      <protection hidden="1"/>
    </xf>
    <xf numFmtId="0" fontId="32" fillId="0" borderId="25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left" vertical="center" wrapText="1"/>
      <protection hidden="1"/>
    </xf>
    <xf numFmtId="0" fontId="73" fillId="0" borderId="0" xfId="0" applyFont="1" applyBorder="1" applyAlignment="1" applyProtection="1">
      <alignment horizontal="left" vertical="center" wrapText="1"/>
      <protection hidden="1"/>
    </xf>
    <xf numFmtId="0" fontId="73" fillId="0" borderId="13" xfId="0" applyFont="1" applyBorder="1" applyAlignment="1" applyProtection="1">
      <alignment horizontal="left" vertical="center" wrapText="1"/>
      <protection hidden="1"/>
    </xf>
    <xf numFmtId="0" fontId="73" fillId="0" borderId="23" xfId="0" applyFont="1" applyBorder="1" applyAlignment="1" applyProtection="1">
      <alignment horizontal="left" vertical="center" wrapText="1"/>
      <protection hidden="1"/>
    </xf>
    <xf numFmtId="0" fontId="73" fillId="0" borderId="14" xfId="0" applyFont="1" applyBorder="1" applyAlignment="1" applyProtection="1">
      <alignment horizontal="left" vertical="center" wrapText="1"/>
      <protection hidden="1"/>
    </xf>
    <xf numFmtId="0" fontId="73" fillId="0" borderId="18" xfId="0" applyFont="1" applyBorder="1" applyAlignment="1" applyProtection="1">
      <alignment horizontal="left" vertical="center" wrapText="1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34" fillId="0" borderId="15" xfId="0" applyFont="1" applyBorder="1" applyAlignment="1" applyProtection="1">
      <alignment horizontal="left" vertical="center" wrapText="1" indent="10"/>
      <protection hidden="1"/>
    </xf>
    <xf numFmtId="0" fontId="34" fillId="0" borderId="19" xfId="0" applyFont="1" applyBorder="1" applyAlignment="1" applyProtection="1">
      <alignment horizontal="left" vertical="center" wrapText="1" indent="10"/>
      <protection hidden="1"/>
    </xf>
    <xf numFmtId="0" fontId="34" fillId="0" borderId="26" xfId="0" applyFont="1" applyBorder="1" applyAlignment="1" applyProtection="1">
      <alignment horizontal="left" vertical="center" wrapText="1" indent="10"/>
      <protection hidden="1"/>
    </xf>
    <xf numFmtId="0" fontId="34" fillId="0" borderId="23" xfId="0" applyFont="1" applyBorder="1" applyAlignment="1" applyProtection="1">
      <alignment horizontal="left" vertical="center" wrapText="1" indent="10"/>
      <protection hidden="1"/>
    </xf>
    <xf numFmtId="0" fontId="34" fillId="0" borderId="14" xfId="0" applyFont="1" applyBorder="1" applyAlignment="1" applyProtection="1">
      <alignment horizontal="left" vertical="center" wrapText="1" indent="10"/>
      <protection hidden="1"/>
    </xf>
    <xf numFmtId="0" fontId="34" fillId="0" borderId="18" xfId="0" applyFont="1" applyBorder="1" applyAlignment="1" applyProtection="1">
      <alignment horizontal="left" vertical="center" wrapText="1" indent="10"/>
      <protection hidden="1"/>
    </xf>
    <xf numFmtId="0" fontId="82" fillId="0" borderId="12" xfId="0" applyFont="1" applyBorder="1" applyAlignment="1" applyProtection="1">
      <alignment horizontal="left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4" fillId="0" borderId="19" xfId="0" applyFont="1" applyBorder="1" applyAlignment="1" applyProtection="1">
      <alignment horizontal="left" vertical="center" indent="10"/>
      <protection hidden="1"/>
    </xf>
    <xf numFmtId="0" fontId="34" fillId="0" borderId="26" xfId="0" applyFont="1" applyBorder="1" applyAlignment="1" applyProtection="1">
      <alignment horizontal="left" vertical="center" indent="10"/>
      <protection hidden="1"/>
    </xf>
    <xf numFmtId="0" fontId="34" fillId="0" borderId="23" xfId="0" applyFont="1" applyBorder="1" applyAlignment="1" applyProtection="1">
      <alignment horizontal="left" vertical="center" indent="10"/>
      <protection hidden="1"/>
    </xf>
    <xf numFmtId="0" fontId="34" fillId="0" borderId="14" xfId="0" applyFont="1" applyBorder="1" applyAlignment="1" applyProtection="1">
      <alignment horizontal="left" vertical="center" indent="10"/>
      <protection hidden="1"/>
    </xf>
    <xf numFmtId="0" fontId="34" fillId="0" borderId="18" xfId="0" applyFont="1" applyBorder="1" applyAlignment="1" applyProtection="1">
      <alignment horizontal="left" vertical="center" indent="10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73" fillId="0" borderId="0" xfId="0" applyFont="1" applyFill="1" applyAlignment="1" applyProtection="1">
      <alignment horizontal="justify" wrapTex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0" xfId="0" applyFont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0"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font>
        <b val="0"/>
        <i val="0"/>
        <name val="Calibri Light"/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strike val="0"/>
        <color theme="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122</xdr:row>
      <xdr:rowOff>285750</xdr:rowOff>
    </xdr:from>
    <xdr:to>
      <xdr:col>9</xdr:col>
      <xdr:colOff>466725</xdr:colOff>
      <xdr:row>126</xdr:row>
      <xdr:rowOff>238125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7145000"/>
          <a:ext cx="9715500" cy="942975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67625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67625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558</xdr:row>
      <xdr:rowOff>9525</xdr:rowOff>
    </xdr:from>
    <xdr:to>
      <xdr:col>23</xdr:col>
      <xdr:colOff>38100</xdr:colOff>
      <xdr:row>561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83134200"/>
          <a:ext cx="76771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438275" y="7639050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6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3.375" style="5" bestFit="1" customWidth="1"/>
    <col min="22" max="16384" width="9.125" style="5" customWidth="1"/>
  </cols>
  <sheetData>
    <row r="1" spans="1:20" ht="15.75" customHeight="1">
      <c r="A1" s="737" t="str">
        <f>A131</f>
        <v>Введите данные в ячейки, выделенные голубым и зеленым цветом</v>
      </c>
      <c r="B1" s="738"/>
      <c r="C1" s="738"/>
      <c r="D1" s="738"/>
      <c r="E1" s="738"/>
      <c r="F1" s="738"/>
      <c r="G1" s="738"/>
      <c r="H1" s="738"/>
      <c r="I1" s="738"/>
      <c r="J1" s="739"/>
      <c r="K1" s="1"/>
      <c r="T1" s="496" t="s">
        <v>314</v>
      </c>
    </row>
    <row r="2" spans="1:20" ht="13.5" customHeight="1">
      <c r="A2" s="714"/>
      <c r="B2" s="715"/>
      <c r="C2" s="715"/>
      <c r="D2" s="715"/>
      <c r="E2" s="715"/>
      <c r="F2" s="715"/>
      <c r="G2" s="715"/>
      <c r="H2" s="715"/>
      <c r="I2" s="715"/>
      <c r="J2" s="716"/>
      <c r="K2" s="1"/>
      <c r="T2" s="604" t="s">
        <v>747</v>
      </c>
    </row>
    <row r="3" spans="1:20" ht="37.5" customHeight="1" thickBot="1">
      <c r="A3" s="740" t="s">
        <v>0</v>
      </c>
      <c r="B3" s="741"/>
      <c r="C3" s="741"/>
      <c r="D3" s="741"/>
      <c r="E3" s="741"/>
      <c r="F3" s="741"/>
      <c r="G3" s="741"/>
      <c r="H3" s="741"/>
      <c r="I3" s="741"/>
      <c r="J3" s="742"/>
      <c r="K3" s="6"/>
      <c r="M3" s="7"/>
      <c r="S3" s="374"/>
      <c r="T3" s="367"/>
    </row>
    <row r="4" spans="1:20" ht="17.25" customHeight="1" thickBot="1">
      <c r="A4" s="481" t="s">
        <v>1</v>
      </c>
      <c r="B4" s="743">
        <v>1</v>
      </c>
      <c r="C4" s="744"/>
      <c r="D4" s="482"/>
      <c r="E4" s="491" t="s">
        <v>363</v>
      </c>
      <c r="F4" s="483"/>
      <c r="G4" s="484"/>
      <c r="H4" s="751" t="s">
        <v>180</v>
      </c>
      <c r="I4" s="751"/>
      <c r="J4" s="752"/>
      <c r="K4" s="8"/>
      <c r="L4" s="8"/>
      <c r="M4" s="8"/>
      <c r="N4" s="8"/>
      <c r="O4" s="8"/>
      <c r="P4" s="8"/>
      <c r="Q4" s="8"/>
      <c r="S4" s="374"/>
      <c r="T4" s="367"/>
    </row>
    <row r="5" spans="1:20" ht="10.5" customHeight="1">
      <c r="A5" s="485"/>
      <c r="B5" s="482"/>
      <c r="C5" s="482"/>
      <c r="D5" s="482"/>
      <c r="E5" s="492" t="str">
        <f aca="true" t="shared" si="0" ref="E5:E16">VLOOKUP(A134,$A$134:$H$146,$B$4+1)</f>
        <v>Балашиха</v>
      </c>
      <c r="F5" s="486"/>
      <c r="G5" s="369"/>
      <c r="H5" s="733" t="s">
        <v>457</v>
      </c>
      <c r="I5" s="733"/>
      <c r="J5" s="734"/>
      <c r="K5" s="8"/>
      <c r="L5" s="8"/>
      <c r="M5" s="8"/>
      <c r="N5" s="8"/>
      <c r="O5" s="8"/>
      <c r="P5" s="8"/>
      <c r="Q5" s="8"/>
      <c r="S5" s="374"/>
      <c r="T5" s="367"/>
    </row>
    <row r="6" spans="1:20" ht="10.5" customHeight="1">
      <c r="A6" s="485"/>
      <c r="B6" s="482"/>
      <c r="C6" s="482"/>
      <c r="D6" s="482"/>
      <c r="E6" s="492" t="str">
        <f t="shared" si="0"/>
        <v>Богородский</v>
      </c>
      <c r="F6" s="486"/>
      <c r="G6" s="369"/>
      <c r="H6" s="733"/>
      <c r="I6" s="733"/>
      <c r="J6" s="734"/>
      <c r="K6" s="8"/>
      <c r="L6" s="8"/>
      <c r="M6" s="8"/>
      <c r="N6" s="8"/>
      <c r="O6" s="8"/>
      <c r="P6" s="8"/>
      <c r="Q6" s="8"/>
      <c r="S6" s="374"/>
      <c r="T6" s="367"/>
    </row>
    <row r="7" spans="1:20" ht="10.5" customHeight="1">
      <c r="A7" s="485"/>
      <c r="B7" s="482"/>
      <c r="C7" s="482"/>
      <c r="D7" s="482"/>
      <c r="E7" s="492" t="str">
        <f t="shared" si="0"/>
        <v>Орехово-Зуевский</v>
      </c>
      <c r="F7" s="486"/>
      <c r="G7" s="369"/>
      <c r="H7" s="733"/>
      <c r="I7" s="733"/>
      <c r="J7" s="734"/>
      <c r="K7" s="8"/>
      <c r="L7" s="8"/>
      <c r="M7" s="8"/>
      <c r="N7" s="8"/>
      <c r="O7" s="8"/>
      <c r="P7" s="8"/>
      <c r="Q7" s="8"/>
      <c r="S7" s="374"/>
      <c r="T7" s="367"/>
    </row>
    <row r="8" spans="1:20" ht="10.5" customHeight="1" thickBot="1">
      <c r="A8" s="485"/>
      <c r="B8" s="482"/>
      <c r="C8" s="482"/>
      <c r="D8" s="482"/>
      <c r="E8" s="492" t="str">
        <f t="shared" si="0"/>
        <v>Павловский Посад</v>
      </c>
      <c r="F8" s="486"/>
      <c r="G8" s="369"/>
      <c r="H8" s="760" t="s">
        <v>500</v>
      </c>
      <c r="I8" s="760"/>
      <c r="J8" s="761"/>
      <c r="K8" s="8"/>
      <c r="L8" s="566" t="s">
        <v>516</v>
      </c>
      <c r="M8" s="565"/>
      <c r="N8" s="565"/>
      <c r="O8" s="565"/>
      <c r="P8" s="565"/>
      <c r="Q8" s="8"/>
      <c r="S8" s="374"/>
      <c r="T8" s="367"/>
    </row>
    <row r="9" spans="1:20" ht="10.5" customHeight="1" thickTop="1">
      <c r="A9" s="485"/>
      <c r="B9" s="482"/>
      <c r="C9" s="482"/>
      <c r="D9" s="482"/>
      <c r="E9" s="492" t="str">
        <f t="shared" si="0"/>
        <v>Реутов</v>
      </c>
      <c r="F9" s="486"/>
      <c r="G9" s="369"/>
      <c r="H9" s="760"/>
      <c r="I9" s="760"/>
      <c r="J9" s="761"/>
      <c r="K9" s="8"/>
      <c r="L9" s="9"/>
      <c r="M9" s="9"/>
      <c r="N9" s="9"/>
      <c r="O9" s="9"/>
      <c r="P9" s="9"/>
      <c r="S9" s="374"/>
      <c r="T9" s="367"/>
    </row>
    <row r="10" spans="1:20" ht="10.5" customHeight="1">
      <c r="A10" s="485"/>
      <c r="B10" s="482"/>
      <c r="C10" s="482"/>
      <c r="D10" s="482"/>
      <c r="E10" s="492" t="str">
        <f t="shared" si="0"/>
        <v>Черноголовка</v>
      </c>
      <c r="F10" s="486"/>
      <c r="G10" s="369"/>
      <c r="H10" s="760"/>
      <c r="I10" s="760"/>
      <c r="J10" s="761"/>
      <c r="K10" s="8"/>
      <c r="L10" s="11"/>
      <c r="N10" s="562"/>
      <c r="O10" s="564" t="str">
        <f>"порог для __"&amp;ЗаявлКатег_ОС&amp;"__"&amp;" для "&amp;Q12&amp;B29</f>
        <v>порог для __первая__ для ДОД  без учета мониторингов системы образования</v>
      </c>
      <c r="P10" s="563">
        <f>VLOOKUP(ЗаявлКатег_ОС,M12:N13,2)</f>
        <v>280</v>
      </c>
      <c r="S10" s="374"/>
      <c r="T10" s="367"/>
    </row>
    <row r="11" spans="1:20" ht="10.5" customHeight="1">
      <c r="A11" s="485"/>
      <c r="B11" s="482"/>
      <c r="C11" s="482"/>
      <c r="D11" s="482"/>
      <c r="E11" s="492" t="str">
        <f t="shared" si="0"/>
        <v>Электрогорск</v>
      </c>
      <c r="F11" s="486"/>
      <c r="G11" s="369"/>
      <c r="H11" s="760"/>
      <c r="I11" s="760"/>
      <c r="J11" s="761"/>
      <c r="K11" s="8"/>
      <c r="M11" s="556" t="s">
        <v>515</v>
      </c>
      <c r="N11" s="434"/>
      <c r="P11" s="561" t="s">
        <v>4</v>
      </c>
      <c r="S11" s="374"/>
      <c r="T11" s="367"/>
    </row>
    <row r="12" spans="1:20" ht="10.5" customHeight="1">
      <c r="A12" s="485"/>
      <c r="B12" s="482"/>
      <c r="C12" s="482"/>
      <c r="D12" s="482"/>
      <c r="E12" s="492" t="str">
        <f t="shared" si="0"/>
        <v>Электросталь</v>
      </c>
      <c r="F12" s="486"/>
      <c r="G12" s="369"/>
      <c r="H12" s="760"/>
      <c r="I12" s="760"/>
      <c r="J12" s="761"/>
      <c r="K12" s="8"/>
      <c r="L12" s="63" t="s">
        <v>145</v>
      </c>
      <c r="M12" s="356" t="s">
        <v>3</v>
      </c>
      <c r="N12" s="559">
        <f>VLOOKUP($B$29,$L$19:$Q$20,3)+O12</f>
        <v>540</v>
      </c>
      <c r="O12" s="5">
        <f>IF(P12=3,60,0)</f>
        <v>0</v>
      </c>
      <c r="P12" s="560">
        <f>VLOOKUP(B27,$L$19:$Q$30,5)</f>
        <v>2</v>
      </c>
      <c r="Q12" s="558" t="str">
        <f>VLOOKUP(B27,$L$19:$Q$30,4)</f>
        <v>ДОД</v>
      </c>
      <c r="S12" s="374"/>
      <c r="T12" s="367"/>
    </row>
    <row r="13" spans="1:20" ht="12.75" customHeight="1">
      <c r="A13" s="485"/>
      <c r="B13" s="482"/>
      <c r="C13" s="482"/>
      <c r="D13" s="482"/>
      <c r="E13" s="492" t="str">
        <f t="shared" si="0"/>
        <v> </v>
      </c>
      <c r="F13" s="486"/>
      <c r="G13" s="369"/>
      <c r="H13" s="733" t="s">
        <v>746</v>
      </c>
      <c r="I13" s="733"/>
      <c r="J13" s="734"/>
      <c r="K13" s="8"/>
      <c r="M13" s="357" t="s">
        <v>2</v>
      </c>
      <c r="N13" s="559">
        <f>VLOOKUP($B$29,$L$19:$Q$30,2)+O13</f>
        <v>280</v>
      </c>
      <c r="O13" s="5">
        <f>IF(P12=3,40,0)</f>
        <v>0</v>
      </c>
      <c r="P13" s="557" t="str">
        <f>VLOOKUP(B29,$L$19:$Q$30,4)</f>
        <v>*без уч.</v>
      </c>
      <c r="S13" s="374"/>
      <c r="T13" s="367"/>
    </row>
    <row r="14" spans="1:20" ht="10.5" customHeight="1">
      <c r="A14" s="487"/>
      <c r="B14" s="369"/>
      <c r="C14" s="482"/>
      <c r="D14" s="482"/>
      <c r="E14" s="492" t="str">
        <f t="shared" si="0"/>
        <v> </v>
      </c>
      <c r="F14" s="486"/>
      <c r="G14" s="369"/>
      <c r="H14" s="733"/>
      <c r="I14" s="733"/>
      <c r="J14" s="734"/>
      <c r="K14" s="8"/>
      <c r="L14" s="13"/>
      <c r="N14" s="15"/>
      <c r="O14" s="15"/>
      <c r="P14" s="16"/>
      <c r="S14" s="374"/>
      <c r="T14" s="367"/>
    </row>
    <row r="15" spans="1:20" ht="10.5" customHeight="1">
      <c r="A15" s="485"/>
      <c r="B15" s="369"/>
      <c r="C15" s="482"/>
      <c r="D15" s="482"/>
      <c r="E15" s="492" t="str">
        <f t="shared" si="0"/>
        <v> </v>
      </c>
      <c r="F15" s="486"/>
      <c r="G15" s="369"/>
      <c r="H15" s="733"/>
      <c r="I15" s="733"/>
      <c r="J15" s="734"/>
      <c r="K15" s="8"/>
      <c r="L15" s="13"/>
      <c r="N15" s="14"/>
      <c r="O15" s="14"/>
      <c r="P15" s="16"/>
      <c r="S15" s="374"/>
      <c r="T15" s="367"/>
    </row>
    <row r="16" spans="1:20" ht="10.5" customHeight="1">
      <c r="A16" s="485"/>
      <c r="B16" s="369"/>
      <c r="C16" s="369"/>
      <c r="D16" s="369"/>
      <c r="E16" s="493" t="str">
        <f t="shared" si="0"/>
        <v> </v>
      </c>
      <c r="F16" s="488"/>
      <c r="G16" s="369"/>
      <c r="H16" s="733"/>
      <c r="I16" s="733"/>
      <c r="J16" s="734"/>
      <c r="K16" s="17"/>
      <c r="L16" s="545"/>
      <c r="M16" s="544"/>
      <c r="N16" s="534"/>
      <c r="O16" s="530"/>
      <c r="P16" s="546"/>
      <c r="S16" s="374"/>
      <c r="T16" s="367"/>
    </row>
    <row r="17" spans="1:20" ht="10.5" customHeight="1">
      <c r="A17" s="485"/>
      <c r="B17" s="369"/>
      <c r="C17" s="369"/>
      <c r="D17" s="369"/>
      <c r="E17" s="489"/>
      <c r="F17" s="369"/>
      <c r="G17" s="369"/>
      <c r="H17" s="733"/>
      <c r="I17" s="733"/>
      <c r="J17" s="734"/>
      <c r="K17" s="593" t="s">
        <v>525</v>
      </c>
      <c r="L17" s="518"/>
      <c r="M17" s="241" t="s">
        <v>2</v>
      </c>
      <c r="N17" s="532" t="s">
        <v>3</v>
      </c>
      <c r="O17" s="388"/>
      <c r="P17" s="521"/>
      <c r="Q17" s="388"/>
      <c r="R17" s="168"/>
      <c r="S17" s="522"/>
      <c r="T17" s="367"/>
    </row>
    <row r="18" spans="1:20" ht="6.75" customHeight="1">
      <c r="A18" s="392"/>
      <c r="B18" s="18"/>
      <c r="C18" s="18"/>
      <c r="D18" s="18"/>
      <c r="E18" s="393"/>
      <c r="F18" s="18"/>
      <c r="G18" s="18"/>
      <c r="H18" s="395"/>
      <c r="I18" s="395"/>
      <c r="J18" s="396"/>
      <c r="K18" s="591"/>
      <c r="L18" s="11"/>
      <c r="M18" s="316"/>
      <c r="N18" s="533"/>
      <c r="O18" s="168"/>
      <c r="P18" s="523"/>
      <c r="Q18" s="168"/>
      <c r="R18" s="168"/>
      <c r="S18" s="522"/>
      <c r="T18" s="367"/>
    </row>
    <row r="19" spans="1:21" ht="24" customHeight="1">
      <c r="A19" s="692" t="s">
        <v>629</v>
      </c>
      <c r="B19" s="693"/>
      <c r="C19" s="693"/>
      <c r="D19" s="693"/>
      <c r="E19" s="693"/>
      <c r="F19" s="693"/>
      <c r="G19" s="693"/>
      <c r="H19" s="693"/>
      <c r="I19" s="693"/>
      <c r="J19" s="387"/>
      <c r="K19" s="651" t="str">
        <f>IF(COUNTIF(C21:C23,"да"),"да","нет")</f>
        <v>нет</v>
      </c>
      <c r="L19" s="659" t="s">
        <v>749</v>
      </c>
      <c r="M19" s="527">
        <v>280</v>
      </c>
      <c r="N19" s="526">
        <v>540</v>
      </c>
      <c r="O19" s="528" t="s">
        <v>512</v>
      </c>
      <c r="P19" s="529">
        <v>1</v>
      </c>
      <c r="Q19" s="531"/>
      <c r="R19" s="168"/>
      <c r="S19" s="522"/>
      <c r="T19" s="367"/>
      <c r="U19" s="513" t="s">
        <v>762</v>
      </c>
    </row>
    <row r="20" spans="1:21" ht="21.75" customHeight="1">
      <c r="A20" s="385" t="s">
        <v>763</v>
      </c>
      <c r="B20" s="21"/>
      <c r="C20" s="21"/>
      <c r="D20" s="21"/>
      <c r="E20" s="21"/>
      <c r="F20" s="21"/>
      <c r="G20" s="22"/>
      <c r="H20" s="12"/>
      <c r="I20" s="12"/>
      <c r="J20" s="20"/>
      <c r="K20" s="592" t="str">
        <f>IF(K19="да",L20,L19)</f>
        <v>  без учета мониторингов системы образования</v>
      </c>
      <c r="L20" s="660" t="s">
        <v>750</v>
      </c>
      <c r="M20" s="536">
        <v>340</v>
      </c>
      <c r="N20" s="535">
        <v>600</v>
      </c>
      <c r="O20" s="537" t="s">
        <v>513</v>
      </c>
      <c r="P20" s="538">
        <v>1</v>
      </c>
      <c r="Q20" s="605"/>
      <c r="R20" s="168"/>
      <c r="S20" s="522"/>
      <c r="T20" s="367"/>
      <c r="U20" s="512" t="s">
        <v>25</v>
      </c>
    </row>
    <row r="21" spans="1:21" ht="15">
      <c r="A21" s="19"/>
      <c r="B21" s="653" t="s">
        <v>453</v>
      </c>
      <c r="C21" s="490" t="s">
        <v>25</v>
      </c>
      <c r="D21" s="12"/>
      <c r="E21" s="12"/>
      <c r="F21" s="12"/>
      <c r="G21" s="12"/>
      <c r="H21" s="12"/>
      <c r="I21" s="12"/>
      <c r="J21" s="20"/>
      <c r="K21" s="520"/>
      <c r="L21" s="661" t="s">
        <v>752</v>
      </c>
      <c r="M21" s="539">
        <v>0</v>
      </c>
      <c r="N21" s="540">
        <v>0</v>
      </c>
      <c r="O21" s="541" t="s">
        <v>755</v>
      </c>
      <c r="P21" s="655">
        <v>2</v>
      </c>
      <c r="Q21" s="542"/>
      <c r="R21" s="168"/>
      <c r="S21" s="522"/>
      <c r="T21" s="367"/>
      <c r="U21" s="512" t="s">
        <v>523</v>
      </c>
    </row>
    <row r="22" spans="1:21" ht="15">
      <c r="A22" s="19"/>
      <c r="B22" s="654" t="s">
        <v>454</v>
      </c>
      <c r="C22" s="490" t="s">
        <v>25</v>
      </c>
      <c r="D22" s="12"/>
      <c r="E22" s="12"/>
      <c r="F22" s="12"/>
      <c r="G22" s="12"/>
      <c r="H22" s="12"/>
      <c r="I22" s="12"/>
      <c r="J22" s="20"/>
      <c r="K22" s="520"/>
      <c r="L22" s="661" t="s">
        <v>751</v>
      </c>
      <c r="M22" s="539">
        <v>0</v>
      </c>
      <c r="N22" s="540">
        <v>0</v>
      </c>
      <c r="O22" s="541" t="s">
        <v>756</v>
      </c>
      <c r="P22" s="655">
        <v>2</v>
      </c>
      <c r="Q22" s="542"/>
      <c r="R22" s="168"/>
      <c r="S22" s="522"/>
      <c r="T22" s="367"/>
      <c r="U22" s="512" t="s">
        <v>508</v>
      </c>
    </row>
    <row r="23" spans="1:21" ht="15">
      <c r="A23" s="19"/>
      <c r="B23" s="654" t="s">
        <v>345</v>
      </c>
      <c r="C23" s="490" t="s">
        <v>25</v>
      </c>
      <c r="D23" s="12"/>
      <c r="E23" s="721" t="s">
        <v>523</v>
      </c>
      <c r="F23" s="721"/>
      <c r="G23" s="721"/>
      <c r="H23" s="721"/>
      <c r="I23" s="721"/>
      <c r="J23" s="722"/>
      <c r="K23" s="520"/>
      <c r="L23" s="661" t="s">
        <v>754</v>
      </c>
      <c r="M23" s="539">
        <v>0</v>
      </c>
      <c r="N23" s="540">
        <v>0</v>
      </c>
      <c r="O23" s="541" t="s">
        <v>757</v>
      </c>
      <c r="P23" s="655">
        <v>2</v>
      </c>
      <c r="Q23" s="542"/>
      <c r="R23" s="168"/>
      <c r="S23" s="522"/>
      <c r="T23" s="367"/>
      <c r="U23" s="512" t="s">
        <v>508</v>
      </c>
    </row>
    <row r="24" spans="1:20" ht="3" customHeight="1">
      <c r="A24" s="19"/>
      <c r="B24" s="12"/>
      <c r="C24" s="51"/>
      <c r="D24" s="12"/>
      <c r="E24" s="12"/>
      <c r="F24" s="12"/>
      <c r="G24" s="12"/>
      <c r="H24" s="516">
        <f>IF(C23="да","укажите наименование др.мониторингов","")</f>
      </c>
      <c r="I24" s="12"/>
      <c r="J24" s="20"/>
      <c r="K24" s="524"/>
      <c r="L24" s="661" t="s">
        <v>753</v>
      </c>
      <c r="M24" s="539">
        <v>0</v>
      </c>
      <c r="N24" s="540">
        <v>0</v>
      </c>
      <c r="O24" s="541" t="s">
        <v>758</v>
      </c>
      <c r="P24" s="655">
        <v>2</v>
      </c>
      <c r="Q24" s="543"/>
      <c r="R24" s="168"/>
      <c r="S24" s="522"/>
      <c r="T24" s="367"/>
    </row>
    <row r="25" spans="1:20" ht="12.75">
      <c r="A25" s="668" t="s">
        <v>502</v>
      </c>
      <c r="B25" s="772" t="str">
        <f>IF(K19="да","(с учетом результатов мониторинга системы образования)","(в межаттестационный период мониторинги системы образования не проводились)")</f>
        <v>(в межаттестационный период мониторинги системы образования не проводились)</v>
      </c>
      <c r="C25" s="772"/>
      <c r="D25" s="772"/>
      <c r="E25" s="772"/>
      <c r="F25" s="772"/>
      <c r="G25" s="772"/>
      <c r="H25" s="772"/>
      <c r="I25" s="772"/>
      <c r="J25" s="20"/>
      <c r="K25" s="524"/>
      <c r="L25" s="662" t="s">
        <v>645</v>
      </c>
      <c r="M25" s="656">
        <v>40</v>
      </c>
      <c r="N25" s="657">
        <v>60</v>
      </c>
      <c r="O25" s="663" t="s">
        <v>759</v>
      </c>
      <c r="P25" s="658">
        <v>3</v>
      </c>
      <c r="Q25" s="580" t="s">
        <v>514</v>
      </c>
      <c r="R25" s="168"/>
      <c r="S25" s="522"/>
      <c r="T25" s="367"/>
    </row>
    <row r="26" spans="1:20" ht="12.75">
      <c r="A26" s="12"/>
      <c r="B26" s="12"/>
      <c r="C26" s="12"/>
      <c r="D26" s="12"/>
      <c r="E26" s="12"/>
      <c r="F26" s="12"/>
      <c r="G26" s="12"/>
      <c r="H26" s="12"/>
      <c r="I26" s="12"/>
      <c r="J26" s="497"/>
      <c r="K26" s="524"/>
      <c r="L26" s="63" t="str">
        <f>K174</f>
        <v>педагог-психолог</v>
      </c>
      <c r="M26" s="63"/>
      <c r="N26" s="624"/>
      <c r="O26" s="541"/>
      <c r="P26" s="624"/>
      <c r="Q26" s="624"/>
      <c r="R26" s="168"/>
      <c r="S26" s="522"/>
      <c r="T26" s="367"/>
    </row>
    <row r="27" spans="1:20" ht="15" customHeight="1">
      <c r="A27" s="653" t="s">
        <v>764</v>
      </c>
      <c r="B27" s="759" t="s">
        <v>754</v>
      </c>
      <c r="C27" s="759"/>
      <c r="D27" s="759"/>
      <c r="E27" s="759"/>
      <c r="F27" s="759"/>
      <c r="G27" s="12"/>
      <c r="H27" s="516"/>
      <c r="I27" s="12"/>
      <c r="J27" s="20"/>
      <c r="K27" s="524"/>
      <c r="L27" s="650"/>
      <c r="M27" s="551"/>
      <c r="N27" s="552"/>
      <c r="O27" s="541"/>
      <c r="P27" s="554"/>
      <c r="Q27" s="649"/>
      <c r="R27" s="168"/>
      <c r="S27" s="522"/>
      <c r="T27" s="367"/>
    </row>
    <row r="28" spans="1:43" ht="12.75" hidden="1">
      <c r="A28" s="762"/>
      <c r="B28" s="762"/>
      <c r="C28" s="762"/>
      <c r="D28" s="762"/>
      <c r="E28" s="762"/>
      <c r="F28" s="762"/>
      <c r="G28" s="762"/>
      <c r="H28" s="762"/>
      <c r="I28" s="762"/>
      <c r="J28" s="763"/>
      <c r="K28" s="524"/>
      <c r="L28" s="63"/>
      <c r="M28" s="63"/>
      <c r="N28" s="624"/>
      <c r="O28" s="287"/>
      <c r="P28" s="624"/>
      <c r="Q28" s="624"/>
      <c r="R28" s="168"/>
      <c r="S28" s="522"/>
      <c r="T28" s="367"/>
      <c r="U28" s="678"/>
      <c r="V28" s="678"/>
      <c r="W28" s="678"/>
      <c r="X28" s="678"/>
      <c r="Y28" s="678"/>
      <c r="Z28" s="678"/>
      <c r="AA28" s="678"/>
      <c r="AB28" s="678"/>
      <c r="AC28" s="678"/>
      <c r="AD28" s="678"/>
      <c r="AE28" s="678"/>
      <c r="AF28" s="678"/>
      <c r="AG28" s="678"/>
      <c r="AH28" s="678"/>
      <c r="AI28" s="678"/>
      <c r="AJ28" s="678"/>
      <c r="AK28" s="678"/>
      <c r="AL28" s="678"/>
      <c r="AM28" s="678"/>
      <c r="AN28" s="678"/>
      <c r="AO28" s="678"/>
      <c r="AP28" s="678"/>
      <c r="AQ28" s="678"/>
    </row>
    <row r="29" spans="1:20" ht="15" hidden="1">
      <c r="A29" s="515" t="s">
        <v>7</v>
      </c>
      <c r="B29" s="756" t="str">
        <f>K20</f>
        <v>  без учета мониторингов системы образования</v>
      </c>
      <c r="C29" s="756"/>
      <c r="D29" s="756"/>
      <c r="E29" s="756"/>
      <c r="F29" s="756"/>
      <c r="G29" s="517" t="s">
        <v>748</v>
      </c>
      <c r="H29" s="514"/>
      <c r="I29" s="514"/>
      <c r="J29" s="519" t="s">
        <v>509</v>
      </c>
      <c r="K29" s="524"/>
      <c r="L29" s="550"/>
      <c r="M29" s="551"/>
      <c r="N29" s="552"/>
      <c r="O29" s="553"/>
      <c r="P29" s="554"/>
      <c r="Q29" s="555"/>
      <c r="R29" s="168"/>
      <c r="S29" s="522"/>
      <c r="T29" s="367"/>
    </row>
    <row r="30" spans="1:20" ht="15.75" thickBot="1">
      <c r="A30" s="464"/>
      <c r="B30" s="386"/>
      <c r="C30" s="386"/>
      <c r="D30" s="386"/>
      <c r="E30" s="386"/>
      <c r="F30" s="386"/>
      <c r="G30" s="386"/>
      <c r="H30" s="386"/>
      <c r="I30" s="386"/>
      <c r="J30" s="20"/>
      <c r="K30" s="524"/>
      <c r="L30" s="567"/>
      <c r="M30" s="568"/>
      <c r="N30" s="569"/>
      <c r="O30" s="570"/>
      <c r="P30" s="571"/>
      <c r="Q30" s="572"/>
      <c r="R30" s="168"/>
      <c r="S30" s="522"/>
      <c r="T30" s="367"/>
    </row>
    <row r="31" spans="1:20" ht="20.25" customHeight="1" thickTop="1">
      <c r="A31" s="692" t="s">
        <v>8</v>
      </c>
      <c r="B31" s="693"/>
      <c r="C31" s="693"/>
      <c r="D31" s="693"/>
      <c r="E31" s="693"/>
      <c r="F31" s="693"/>
      <c r="G31" s="693"/>
      <c r="H31" s="693"/>
      <c r="I31" s="693"/>
      <c r="J31" s="652"/>
      <c r="K31" s="68"/>
      <c r="L31" s="582"/>
      <c r="M31" s="573"/>
      <c r="N31" s="574"/>
      <c r="O31" s="575"/>
      <c r="P31" s="576"/>
      <c r="Q31" s="577"/>
      <c r="R31" s="168"/>
      <c r="S31" s="522"/>
      <c r="T31" s="367"/>
    </row>
    <row r="32" spans="1:20" ht="12.75">
      <c r="A32" s="19"/>
      <c r="B32" s="12"/>
      <c r="C32" s="12"/>
      <c r="D32" s="12"/>
      <c r="E32" s="12"/>
      <c r="F32" s="12"/>
      <c r="G32" s="12"/>
      <c r="H32" s="12"/>
      <c r="I32" s="12"/>
      <c r="J32" s="20"/>
      <c r="K32" s="18"/>
      <c r="L32" s="583" t="s">
        <v>524</v>
      </c>
      <c r="M32" s="578"/>
      <c r="N32" s="579"/>
      <c r="O32" s="580"/>
      <c r="P32" s="581"/>
      <c r="R32" s="168"/>
      <c r="S32" s="522"/>
      <c r="T32" s="367"/>
    </row>
    <row r="33" spans="1:20" ht="15">
      <c r="A33" s="695" t="s">
        <v>9</v>
      </c>
      <c r="B33" s="758"/>
      <c r="C33" s="703"/>
      <c r="D33" s="703"/>
      <c r="E33" s="703"/>
      <c r="F33" s="703"/>
      <c r="G33" s="703"/>
      <c r="H33" s="703"/>
      <c r="I33" s="703"/>
      <c r="J33" s="20"/>
      <c r="K33" s="18"/>
      <c r="L33" s="547">
        <f>CLEAN(TRIM(C33))</f>
      </c>
      <c r="M33" s="578"/>
      <c r="N33" s="579"/>
      <c r="O33" s="580"/>
      <c r="P33" s="581"/>
      <c r="Q33" s="549"/>
      <c r="R33" s="168"/>
      <c r="S33" s="522"/>
      <c r="T33" s="367"/>
    </row>
    <row r="34" spans="1:20" ht="4.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M34" s="5"/>
      <c r="N34" s="5"/>
      <c r="Q34" s="168"/>
      <c r="R34" s="168"/>
      <c r="S34" s="522"/>
      <c r="T34" s="367"/>
    </row>
    <row r="35" spans="1:20" ht="15">
      <c r="A35" s="695" t="s">
        <v>10</v>
      </c>
      <c r="B35" s="696"/>
      <c r="C35" s="774" t="s">
        <v>363</v>
      </c>
      <c r="D35" s="774"/>
      <c r="E35" s="774"/>
      <c r="F35" s="12"/>
      <c r="G35" s="745" t="s">
        <v>61</v>
      </c>
      <c r="H35" s="745"/>
      <c r="I35" s="745"/>
      <c r="J35" s="20"/>
      <c r="L35" s="547" t="str">
        <f>IF(AND(МуницОбр_ОС="",C35&lt;&gt;E4),C35&amp;" "&amp;E4,C35&amp;" "&amp;МуницОбр_ОС)</f>
        <v>городской округ Балашиха</v>
      </c>
      <c r="M35" s="5"/>
      <c r="N35" s="5"/>
      <c r="Q35" s="168"/>
      <c r="R35" s="168"/>
      <c r="S35" s="522"/>
      <c r="T35" s="367"/>
    </row>
    <row r="36" spans="1:20" ht="5.25" customHeight="1">
      <c r="A36" s="28"/>
      <c r="B36" s="29"/>
      <c r="C36" s="30"/>
      <c r="D36" s="30"/>
      <c r="E36" s="30"/>
      <c r="F36" s="30"/>
      <c r="G36" s="30"/>
      <c r="H36" s="30"/>
      <c r="I36" s="30"/>
      <c r="J36" s="20"/>
      <c r="K36" s="18"/>
      <c r="Q36" s="168"/>
      <c r="R36" s="168"/>
      <c r="S36" s="522"/>
      <c r="T36" s="367"/>
    </row>
    <row r="37" spans="1:20" ht="15">
      <c r="A37" s="28" t="s">
        <v>11</v>
      </c>
      <c r="B37" s="745"/>
      <c r="C37" s="745"/>
      <c r="D37" s="745"/>
      <c r="E37" s="745"/>
      <c r="F37" s="745"/>
      <c r="G37" s="745"/>
      <c r="H37" s="745"/>
      <c r="I37" s="745"/>
      <c r="J37" s="20"/>
      <c r="K37" s="27">
        <f>LEN(B37)</f>
        <v>0</v>
      </c>
      <c r="L37" s="548">
        <f>TRIM(B37)</f>
      </c>
      <c r="O37" s="31"/>
      <c r="Q37" s="168"/>
      <c r="R37" s="168"/>
      <c r="S37" s="522"/>
      <c r="T37" s="367"/>
    </row>
    <row r="38" spans="1:20" ht="15">
      <c r="A38" s="28"/>
      <c r="B38" s="757"/>
      <c r="C38" s="757"/>
      <c r="D38" s="757"/>
      <c r="E38" s="757"/>
      <c r="F38" s="757"/>
      <c r="G38" s="757"/>
      <c r="H38" s="757"/>
      <c r="I38" s="757"/>
      <c r="J38" s="20"/>
      <c r="K38" s="27">
        <f>LEN(B38)</f>
        <v>0</v>
      </c>
      <c r="L38" s="548">
        <f>TRIM(B38)</f>
      </c>
      <c r="P38" s="7"/>
      <c r="S38" s="374"/>
      <c r="T38" s="367"/>
    </row>
    <row r="39" spans="1:20" ht="15" customHeight="1">
      <c r="A39" s="28"/>
      <c r="B39" s="757"/>
      <c r="C39" s="757"/>
      <c r="D39" s="757"/>
      <c r="E39" s="757"/>
      <c r="F39" s="757"/>
      <c r="G39" s="757"/>
      <c r="H39" s="757"/>
      <c r="I39" s="757"/>
      <c r="J39" s="20"/>
      <c r="K39" s="27">
        <f>LEN(B39)</f>
        <v>0</v>
      </c>
      <c r="L39" s="548">
        <f>TRIM(B39)</f>
      </c>
      <c r="O39" s="31"/>
      <c r="P39" s="7"/>
      <c r="S39" s="374"/>
      <c r="T39" s="367"/>
    </row>
    <row r="40" spans="1:20" ht="3.75" customHeight="1">
      <c r="A40" s="28"/>
      <c r="B40" s="262"/>
      <c r="C40" s="262"/>
      <c r="D40" s="262"/>
      <c r="E40" s="262"/>
      <c r="F40" s="262"/>
      <c r="G40" s="262"/>
      <c r="H40" s="262"/>
      <c r="I40" s="262"/>
      <c r="J40" s="20"/>
      <c r="K40" s="27"/>
      <c r="L40" s="3"/>
      <c r="O40" s="31"/>
      <c r="P40" s="7"/>
      <c r="S40" s="374"/>
      <c r="T40" s="367"/>
    </row>
    <row r="41" spans="1:20" ht="15">
      <c r="A41" s="28" t="s">
        <v>12</v>
      </c>
      <c r="B41" s="771" t="s">
        <v>145</v>
      </c>
      <c r="C41" s="771"/>
      <c r="D41" s="771"/>
      <c r="E41" s="771"/>
      <c r="F41" s="771"/>
      <c r="G41" s="771"/>
      <c r="H41" s="771"/>
      <c r="I41" s="769"/>
      <c r="J41" s="770"/>
      <c r="K41" s="18"/>
      <c r="L41" s="367" t="str">
        <f>LOWER(TRIM(B41))</f>
        <v>педагог-психолог</v>
      </c>
      <c r="M41" s="27">
        <f>LEN(L41)</f>
        <v>16</v>
      </c>
      <c r="N41" s="31"/>
      <c r="O41" s="31"/>
      <c r="P41" s="7"/>
      <c r="S41" s="374"/>
      <c r="T41" s="367"/>
    </row>
    <row r="42" spans="1:20" ht="15" hidden="1">
      <c r="A42" s="28" t="str">
        <f>K42</f>
        <v>.</v>
      </c>
      <c r="B42" s="773"/>
      <c r="C42" s="773"/>
      <c r="D42" s="773"/>
      <c r="E42" s="773"/>
      <c r="F42" s="773"/>
      <c r="G42" s="773"/>
      <c r="H42" s="773"/>
      <c r="I42" s="748"/>
      <c r="J42" s="749"/>
      <c r="K42" s="66" t="str">
        <f>ЭЗ!AC35</f>
        <v>.</v>
      </c>
      <c r="L42" s="548">
        <f>TRIM(B42)</f>
      </c>
      <c r="M42" s="27">
        <f>IF(B41="",0,1)</f>
        <v>1</v>
      </c>
      <c r="O42" s="31"/>
      <c r="P42" s="7"/>
      <c r="S42" s="374"/>
      <c r="T42" s="367"/>
    </row>
    <row r="43" spans="1:20" ht="6.75" customHeight="1">
      <c r="A43" s="19"/>
      <c r="B43" s="750">
        <f>IF(A42=".","","укажите специализацию (предмет/дисциплину) в именительном падеже ")</f>
      </c>
      <c r="C43" s="750"/>
      <c r="D43" s="750"/>
      <c r="E43" s="750"/>
      <c r="F43" s="750"/>
      <c r="G43" s="750"/>
      <c r="H43" s="750"/>
      <c r="I43" s="12"/>
      <c r="J43" s="20"/>
      <c r="K43" s="18"/>
      <c r="L43" s="5"/>
      <c r="S43" s="374"/>
      <c r="T43" s="367"/>
    </row>
    <row r="44" spans="1:20" ht="3" customHeight="1">
      <c r="A44" s="28"/>
      <c r="B44" s="29"/>
      <c r="C44" s="12"/>
      <c r="D44" s="12"/>
      <c r="E44" s="12"/>
      <c r="F44" s="12"/>
      <c r="G44" s="12"/>
      <c r="H44" s="12"/>
      <c r="I44" s="12"/>
      <c r="J44" s="20"/>
      <c r="K44" s="18"/>
      <c r="L44" s="32"/>
      <c r="S44" s="374"/>
      <c r="T44" s="367"/>
    </row>
    <row r="45" spans="1:20" ht="0.75" customHeight="1">
      <c r="A45" s="33"/>
      <c r="B45" s="34"/>
      <c r="C45" s="775"/>
      <c r="D45" s="775"/>
      <c r="E45" s="775"/>
      <c r="F45" s="775"/>
      <c r="G45" s="775"/>
      <c r="H45" s="775"/>
      <c r="I45" s="775"/>
      <c r="J45" s="20"/>
      <c r="K45" s="18"/>
      <c r="L45" s="32"/>
      <c r="S45" s="374"/>
      <c r="T45" s="367"/>
    </row>
    <row r="46" spans="1:20" ht="2.25" customHeight="1">
      <c r="A46" s="35"/>
      <c r="B46" s="36"/>
      <c r="C46" s="37"/>
      <c r="D46" s="38"/>
      <c r="E46" s="37"/>
      <c r="F46" s="39"/>
      <c r="G46" s="39"/>
      <c r="H46" s="39"/>
      <c r="I46" s="39"/>
      <c r="J46" s="20"/>
      <c r="K46" s="18"/>
      <c r="L46" s="32"/>
      <c r="S46" s="374"/>
      <c r="T46" s="367"/>
    </row>
    <row r="47" spans="1:20" ht="15">
      <c r="A47" s="746" t="s">
        <v>14</v>
      </c>
      <c r="B47" s="747"/>
      <c r="C47" s="747"/>
      <c r="D47" s="40">
        <v>2</v>
      </c>
      <c r="E47" s="41" t="str">
        <f>L47</f>
        <v>года</v>
      </c>
      <c r="F47" s="41"/>
      <c r="G47" s="41"/>
      <c r="H47" s="41"/>
      <c r="I47" s="41"/>
      <c r="J47" s="42"/>
      <c r="K47" s="188">
        <f>IF(стаж_ОС&lt;16,стаж_ОС,MOD(стаж_ОС,10))</f>
        <v>2</v>
      </c>
      <c r="L47" s="2" t="str">
        <f>IF(K47=1,"год",IF(AND(K47&gt;1,K47&lt;5),"года","лет"))</f>
        <v>года</v>
      </c>
      <c r="M47" s="43"/>
      <c r="S47" s="374"/>
      <c r="T47" s="367"/>
    </row>
    <row r="48" spans="1:20" ht="6.75" customHeight="1">
      <c r="A48" s="48"/>
      <c r="B48" s="49"/>
      <c r="C48" s="49"/>
      <c r="D48" s="49"/>
      <c r="E48" s="49"/>
      <c r="F48" s="49"/>
      <c r="G48" s="41"/>
      <c r="H48" s="41"/>
      <c r="I48" s="41"/>
      <c r="J48" s="42"/>
      <c r="K48" s="188"/>
      <c r="M48" s="43"/>
      <c r="S48" s="374"/>
      <c r="T48" s="367"/>
    </row>
    <row r="49" spans="1:20" ht="15">
      <c r="A49" s="746" t="s">
        <v>15</v>
      </c>
      <c r="B49" s="747"/>
      <c r="C49" s="747"/>
      <c r="D49" s="213" t="s">
        <v>25</v>
      </c>
      <c r="E49" s="465">
        <f>IF(AND(катег_ОС="нет",датаПрисв&lt;&gt;0),"Внимание!_НЕТ_","")</f>
      </c>
      <c r="F49" s="466">
        <f>IF(катег_ОС="нет","","дата присвоения")</f>
      </c>
      <c r="G49" s="141"/>
      <c r="H49" s="141"/>
      <c r="I49" s="378"/>
      <c r="J49" s="20"/>
      <c r="K49" s="461">
        <f>IF(OR(катег_ОС="нет",датаПрисв=0),"",датаПрисв)</f>
      </c>
      <c r="L49" s="45" t="s">
        <v>17</v>
      </c>
      <c r="M49" s="46">
        <f ca="1">TODAY()-5*365-90</f>
        <v>42489</v>
      </c>
      <c r="N49" s="46">
        <f ca="1">TODAY()</f>
        <v>44404</v>
      </c>
      <c r="O49" s="47">
        <f>N49-5*365-40</f>
        <v>42539</v>
      </c>
      <c r="S49" s="374"/>
      <c r="T49" s="367"/>
    </row>
    <row r="50" spans="1:20" ht="4.5" customHeight="1">
      <c r="A50" s="48"/>
      <c r="B50" s="49"/>
      <c r="C50" s="49"/>
      <c r="D50" s="50"/>
      <c r="E50" s="29"/>
      <c r="F50" s="51"/>
      <c r="G50" s="51"/>
      <c r="H50" s="51"/>
      <c r="I50" s="51"/>
      <c r="J50" s="44"/>
      <c r="K50" s="462"/>
      <c r="L50" s="52"/>
      <c r="M50" s="215" t="s">
        <v>273</v>
      </c>
      <c r="N50" s="215" t="s">
        <v>274</v>
      </c>
      <c r="S50" s="374"/>
      <c r="T50" s="367"/>
    </row>
    <row r="51" spans="1:20" ht="15">
      <c r="A51" s="48" t="s">
        <v>18</v>
      </c>
      <c r="B51" s="49"/>
      <c r="C51" s="49"/>
      <c r="D51" s="212" t="s">
        <v>2</v>
      </c>
      <c r="E51" s="379">
        <f>IF(F51="","","примеч.")</f>
      </c>
      <c r="F51" s="776"/>
      <c r="G51" s="776"/>
      <c r="H51" s="776"/>
      <c r="I51" s="380"/>
      <c r="J51" s="381">
        <f>IF(E51="","",")")</f>
      </c>
      <c r="K51" s="55">
        <f>IF(I51&lt;&gt;"",F51,"")</f>
      </c>
      <c r="L51" s="54">
        <f>IF(I51&lt;&gt;"",I51,"")</f>
      </c>
      <c r="M51" s="55">
        <f>IF(I51&lt;&gt;"",J51,"")</f>
      </c>
      <c r="S51" s="374"/>
      <c r="T51" s="367"/>
    </row>
    <row r="52" spans="1:20" ht="15">
      <c r="A52" s="28"/>
      <c r="B52" s="29"/>
      <c r="C52" s="29"/>
      <c r="D52" s="29"/>
      <c r="E52" s="29"/>
      <c r="F52" s="29"/>
      <c r="G52" s="29"/>
      <c r="H52" s="29"/>
      <c r="I52" s="56"/>
      <c r="J52" s="20"/>
      <c r="L52" s="57"/>
      <c r="S52" s="374"/>
      <c r="T52" s="367"/>
    </row>
    <row r="53" spans="1:57" ht="15">
      <c r="A53" s="58" t="s">
        <v>19</v>
      </c>
      <c r="B53" s="771" t="s">
        <v>20</v>
      </c>
      <c r="C53" s="771"/>
      <c r="D53" s="771"/>
      <c r="E53" s="771"/>
      <c r="F53" s="29"/>
      <c r="G53" s="29"/>
      <c r="H53" s="29"/>
      <c r="I53" s="56"/>
      <c r="J53" s="20"/>
      <c r="K53" s="59" t="s">
        <v>5</v>
      </c>
      <c r="L53" s="59" t="s">
        <v>20</v>
      </c>
      <c r="M53" s="59" t="s">
        <v>21</v>
      </c>
      <c r="N53" s="59" t="s">
        <v>22</v>
      </c>
      <c r="O53" s="59" t="s">
        <v>23</v>
      </c>
      <c r="P53" s="59"/>
      <c r="Q53" s="59"/>
      <c r="R53" s="59"/>
      <c r="S53" s="374"/>
      <c r="T53" s="367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3" customHeight="1">
      <c r="A54" s="19"/>
      <c r="B54" s="29"/>
      <c r="C54" s="29"/>
      <c r="D54" s="29"/>
      <c r="E54" s="29"/>
      <c r="F54" s="29"/>
      <c r="G54" s="29"/>
      <c r="H54" s="56"/>
      <c r="I54" s="56"/>
      <c r="J54" s="20"/>
      <c r="K54" s="61"/>
      <c r="L54" s="61"/>
      <c r="M54" s="61"/>
      <c r="N54" s="61"/>
      <c r="O54" s="61"/>
      <c r="P54" s="61"/>
      <c r="Q54" s="61"/>
      <c r="R54" s="61"/>
      <c r="S54" s="374"/>
      <c r="T54" s="367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3" customHeight="1">
      <c r="A55" s="19"/>
      <c r="B55" s="29"/>
      <c r="C55" s="29"/>
      <c r="D55" s="29"/>
      <c r="E55" s="29"/>
      <c r="F55" s="29"/>
      <c r="G55" s="62"/>
      <c r="H55" s="62"/>
      <c r="I55" s="62"/>
      <c r="J55" s="20"/>
      <c r="K55" s="61"/>
      <c r="L55" s="61"/>
      <c r="M55" s="61"/>
      <c r="N55" s="61"/>
      <c r="O55" s="61"/>
      <c r="P55" s="61"/>
      <c r="Q55" s="61"/>
      <c r="R55" s="61"/>
      <c r="S55" s="374"/>
      <c r="T55" s="367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2.75" customHeight="1">
      <c r="A56" s="726" t="str">
        <f>B53</f>
        <v>высшее</v>
      </c>
      <c r="B56" s="717"/>
      <c r="C56" s="717"/>
      <c r="D56" s="717"/>
      <c r="E56" s="717"/>
      <c r="F56" s="717"/>
      <c r="G56" s="717"/>
      <c r="H56" s="717"/>
      <c r="I56" s="717"/>
      <c r="J56" s="718"/>
      <c r="K56" s="63">
        <f>LEN(B56)</f>
        <v>0</v>
      </c>
      <c r="L56" s="64">
        <f>TRIM(вуз_1&amp;IF(год_вуз_1=""," ",", "&amp;год_вуз_1&amp;"г."))&amp;IF(L60="","",";  ")</f>
      </c>
      <c r="M56" s="61"/>
      <c r="N56" s="61"/>
      <c r="O56" s="61"/>
      <c r="P56" s="61"/>
      <c r="Q56" s="61"/>
      <c r="R56" s="61"/>
      <c r="S56" s="374"/>
      <c r="T56" s="367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18" customHeight="1">
      <c r="A57" s="727"/>
      <c r="B57" s="717"/>
      <c r="C57" s="717"/>
      <c r="D57" s="717"/>
      <c r="E57" s="717"/>
      <c r="F57" s="717"/>
      <c r="G57" s="717"/>
      <c r="H57" s="717"/>
      <c r="I57" s="717"/>
      <c r="J57" s="718"/>
      <c r="K57" s="5"/>
      <c r="L57" s="61"/>
      <c r="M57" s="61"/>
      <c r="N57" s="61"/>
      <c r="O57" s="61"/>
      <c r="P57" s="61"/>
      <c r="Q57" s="61"/>
      <c r="R57" s="61"/>
      <c r="S57" s="374"/>
      <c r="T57" s="367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5">
      <c r="A58" s="19"/>
      <c r="B58" s="728" t="s">
        <v>24</v>
      </c>
      <c r="C58" s="728"/>
      <c r="D58" s="728"/>
      <c r="E58" s="65"/>
      <c r="F58" s="12"/>
      <c r="G58" s="12"/>
      <c r="H58" s="12"/>
      <c r="I58" s="12"/>
      <c r="J58" s="20"/>
      <c r="K58" s="66">
        <f>IF(B58="год окончания",год+2000,6)</f>
        <v>2021</v>
      </c>
      <c r="L58" s="61"/>
      <c r="M58" s="61"/>
      <c r="N58" s="61"/>
      <c r="O58" s="61"/>
      <c r="P58" s="61"/>
      <c r="Q58" s="61"/>
      <c r="R58" s="61"/>
      <c r="S58" s="374"/>
      <c r="T58" s="367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</row>
    <row r="59" spans="1:57" ht="3" customHeight="1">
      <c r="A59" s="19"/>
      <c r="B59" s="12"/>
      <c r="C59" s="12"/>
      <c r="D59" s="12"/>
      <c r="E59" s="12"/>
      <c r="F59" s="12"/>
      <c r="G59" s="12"/>
      <c r="H59" s="12"/>
      <c r="I59" s="12"/>
      <c r="J59" s="20"/>
      <c r="K59" s="5"/>
      <c r="L59" s="61"/>
      <c r="M59" s="61"/>
      <c r="N59" s="61"/>
      <c r="O59" s="61"/>
      <c r="P59" s="61"/>
      <c r="Q59" s="61"/>
      <c r="R59" s="61"/>
      <c r="S59" s="374"/>
      <c r="T59" s="367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</row>
    <row r="60" spans="1:57" ht="12.75" customHeight="1">
      <c r="A60" s="729"/>
      <c r="B60" s="717"/>
      <c r="C60" s="717"/>
      <c r="D60" s="717"/>
      <c r="E60" s="717"/>
      <c r="F60" s="717"/>
      <c r="G60" s="717"/>
      <c r="H60" s="717"/>
      <c r="I60" s="717"/>
      <c r="J60" s="718"/>
      <c r="K60" s="63">
        <f>LEN(B60)</f>
        <v>0</v>
      </c>
      <c r="L60" s="64">
        <f>TRIM(вуз_2&amp;IF(год_вуз_2="","",", "&amp;год_вуз_2&amp;"г."))&amp;IF(L64="","",";  ")</f>
      </c>
      <c r="N60" s="21"/>
      <c r="O60" s="21"/>
      <c r="P60" s="67"/>
      <c r="Q60" s="67"/>
      <c r="R60" s="67"/>
      <c r="S60" s="374"/>
      <c r="T60" s="3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</row>
    <row r="61" spans="1:57" ht="18" customHeight="1">
      <c r="A61" s="730"/>
      <c r="B61" s="717"/>
      <c r="C61" s="717"/>
      <c r="D61" s="717"/>
      <c r="E61" s="717"/>
      <c r="F61" s="717"/>
      <c r="G61" s="717"/>
      <c r="H61" s="717"/>
      <c r="I61" s="717"/>
      <c r="J61" s="718"/>
      <c r="K61" s="67"/>
      <c r="L61" s="67"/>
      <c r="M61" s="67"/>
      <c r="N61" s="67"/>
      <c r="O61" s="67"/>
      <c r="P61" s="67"/>
      <c r="Q61" s="67"/>
      <c r="R61" s="67"/>
      <c r="S61" s="374"/>
      <c r="T61" s="3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</row>
    <row r="62" spans="1:57" ht="15">
      <c r="A62" s="19"/>
      <c r="B62" s="728" t="s">
        <v>24</v>
      </c>
      <c r="C62" s="728"/>
      <c r="D62" s="728"/>
      <c r="E62" s="65"/>
      <c r="F62" s="12"/>
      <c r="G62" s="12"/>
      <c r="H62" s="12"/>
      <c r="I62" s="12"/>
      <c r="J62" s="20"/>
      <c r="K62" s="66">
        <f>IF(B62="год окончания",год+2000,6)</f>
        <v>2021</v>
      </c>
      <c r="L62" s="61"/>
      <c r="M62" s="61"/>
      <c r="N62" s="61"/>
      <c r="O62" s="61"/>
      <c r="P62" s="61"/>
      <c r="Q62" s="61"/>
      <c r="R62" s="61"/>
      <c r="S62" s="374"/>
      <c r="T62" s="367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2.25" customHeight="1">
      <c r="A63" s="19"/>
      <c r="B63" s="12"/>
      <c r="C63" s="12"/>
      <c r="D63" s="12"/>
      <c r="E63" s="12"/>
      <c r="F63" s="12"/>
      <c r="G63" s="12"/>
      <c r="H63" s="12"/>
      <c r="I63" s="12"/>
      <c r="J63" s="20"/>
      <c r="K63" s="5"/>
      <c r="L63" s="61"/>
      <c r="M63" s="61"/>
      <c r="N63" s="61"/>
      <c r="O63" s="61"/>
      <c r="P63" s="61"/>
      <c r="Q63" s="61"/>
      <c r="R63" s="61"/>
      <c r="S63" s="374"/>
      <c r="T63" s="367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2.75" customHeight="1">
      <c r="A64" s="729"/>
      <c r="B64" s="717"/>
      <c r="C64" s="717"/>
      <c r="D64" s="717"/>
      <c r="E64" s="717"/>
      <c r="F64" s="717"/>
      <c r="G64" s="717"/>
      <c r="H64" s="717"/>
      <c r="I64" s="717"/>
      <c r="J64" s="718"/>
      <c r="K64" s="63">
        <f>LEN(B64)</f>
        <v>0</v>
      </c>
      <c r="L64" s="64">
        <f>TRIM(вуз_3&amp;IF(год_вуз_3="","",", "&amp;год_вуз_3&amp;"г."))</f>
      </c>
      <c r="M64" s="61"/>
      <c r="N64" s="61"/>
      <c r="O64" s="61"/>
      <c r="P64" s="61"/>
      <c r="Q64" s="61"/>
      <c r="R64" s="61"/>
      <c r="S64" s="374"/>
      <c r="T64" s="367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18" customHeight="1">
      <c r="A65" s="730"/>
      <c r="B65" s="717"/>
      <c r="C65" s="717"/>
      <c r="D65" s="717"/>
      <c r="E65" s="717"/>
      <c r="F65" s="717"/>
      <c r="G65" s="717"/>
      <c r="H65" s="717"/>
      <c r="I65" s="717"/>
      <c r="J65" s="718"/>
      <c r="K65" s="5"/>
      <c r="L65" s="61"/>
      <c r="M65" s="61"/>
      <c r="N65" s="61"/>
      <c r="O65" s="61"/>
      <c r="P65" s="61"/>
      <c r="Q65" s="61"/>
      <c r="R65" s="61"/>
      <c r="S65" s="374"/>
      <c r="T65" s="367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57" ht="15">
      <c r="A66" s="19"/>
      <c r="B66" s="728" t="s">
        <v>24</v>
      </c>
      <c r="C66" s="728"/>
      <c r="D66" s="728"/>
      <c r="E66" s="65"/>
      <c r="F66" s="12"/>
      <c r="G66" s="12"/>
      <c r="H66" s="12"/>
      <c r="I66" s="12"/>
      <c r="J66" s="20"/>
      <c r="K66" s="66">
        <f>IF(B66="год окончания",год+2000,6)</f>
        <v>2021</v>
      </c>
      <c r="L66" s="68"/>
      <c r="M66" s="61"/>
      <c r="N66" s="61"/>
      <c r="O66" s="61"/>
      <c r="P66" s="61"/>
      <c r="Q66" s="61"/>
      <c r="R66" s="61"/>
      <c r="S66" s="374"/>
      <c r="T66" s="367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</row>
    <row r="67" spans="1:57" ht="2.25" customHeight="1">
      <c r="A67" s="19"/>
      <c r="B67" s="12"/>
      <c r="C67" s="12"/>
      <c r="D67" s="12"/>
      <c r="E67" s="12"/>
      <c r="F67" s="12"/>
      <c r="G67" s="12"/>
      <c r="H67" s="12"/>
      <c r="I67" s="12"/>
      <c r="J67" s="20"/>
      <c r="K67" s="5"/>
      <c r="L67" s="61"/>
      <c r="M67" s="61"/>
      <c r="N67" s="61"/>
      <c r="O67" s="61"/>
      <c r="P67" s="61"/>
      <c r="Q67" s="61"/>
      <c r="R67" s="61"/>
      <c r="S67" s="374"/>
      <c r="T67" s="367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</row>
    <row r="68" spans="1:20" ht="3" customHeight="1">
      <c r="A68" s="19"/>
      <c r="B68" s="12"/>
      <c r="C68" s="12"/>
      <c r="D68" s="12"/>
      <c r="E68" s="12"/>
      <c r="F68" s="12"/>
      <c r="G68" s="12"/>
      <c r="H68" s="12"/>
      <c r="I68" s="12"/>
      <c r="J68" s="20"/>
      <c r="K68" s="18"/>
      <c r="S68" s="374"/>
      <c r="T68" s="367"/>
    </row>
    <row r="69" spans="1:20" ht="33" customHeight="1">
      <c r="A69" s="767" t="s">
        <v>398</v>
      </c>
      <c r="B69" s="768"/>
      <c r="C69" s="768"/>
      <c r="D69" s="768"/>
      <c r="E69" s="768"/>
      <c r="F69" s="768"/>
      <c r="G69" s="768"/>
      <c r="H69" s="768"/>
      <c r="I69" s="768"/>
      <c r="J69" s="24"/>
      <c r="L69" s="321"/>
      <c r="M69" s="69"/>
      <c r="N69" s="69"/>
      <c r="O69" s="69"/>
      <c r="P69" s="69"/>
      <c r="Q69" s="69"/>
      <c r="R69" s="69"/>
      <c r="S69" s="374"/>
      <c r="T69" s="367"/>
    </row>
    <row r="70" spans="1:20" ht="2.25" customHeight="1">
      <c r="A70" s="70"/>
      <c r="B70" s="25"/>
      <c r="C70" s="25"/>
      <c r="D70" s="25"/>
      <c r="E70" s="25"/>
      <c r="F70" s="25"/>
      <c r="G70" s="25"/>
      <c r="H70" s="25"/>
      <c r="I70" s="25"/>
      <c r="J70" s="71"/>
      <c r="K70" s="25"/>
      <c r="L70" s="25"/>
      <c r="M70" s="2"/>
      <c r="N70" s="3"/>
      <c r="O70" s="69"/>
      <c r="P70" s="69"/>
      <c r="Q70" s="69"/>
      <c r="R70" s="69"/>
      <c r="S70" s="374"/>
      <c r="T70" s="367"/>
    </row>
    <row r="71" spans="1:57" ht="16.5" customHeight="1">
      <c r="A71" s="401" t="s">
        <v>642</v>
      </c>
      <c r="B71" s="12"/>
      <c r="C71" s="12"/>
      <c r="D71" s="72"/>
      <c r="E71" s="73"/>
      <c r="F71" s="74"/>
      <c r="G71" s="74"/>
      <c r="H71" s="74"/>
      <c r="I71" s="12"/>
      <c r="J71" s="20"/>
      <c r="K71" s="598" t="s">
        <v>551</v>
      </c>
      <c r="L71" s="401" t="s">
        <v>550</v>
      </c>
      <c r="M71" s="67"/>
      <c r="N71" s="67"/>
      <c r="O71" s="67"/>
      <c r="P71" s="67"/>
      <c r="Q71" s="67"/>
      <c r="R71" s="67"/>
      <c r="S71" s="374"/>
      <c r="T71" s="3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2.25" customHeight="1">
      <c r="A72" s="401"/>
      <c r="B72" s="12"/>
      <c r="C72" s="12"/>
      <c r="D72" s="72"/>
      <c r="E72" s="73"/>
      <c r="F72" s="74"/>
      <c r="G72" s="74"/>
      <c r="H72" s="74"/>
      <c r="I72" s="12"/>
      <c r="J72" s="20"/>
      <c r="L72" s="5"/>
      <c r="M72" s="67"/>
      <c r="N72" s="67"/>
      <c r="O72" s="67"/>
      <c r="P72" s="67"/>
      <c r="Q72" s="67"/>
      <c r="R72" s="67"/>
      <c r="S72" s="374"/>
      <c r="T72" s="3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8.75" customHeight="1">
      <c r="A73" s="779" t="s">
        <v>25</v>
      </c>
      <c r="B73" s="780"/>
      <c r="C73" s="780"/>
      <c r="D73" s="75"/>
      <c r="E73" s="349" t="s">
        <v>24</v>
      </c>
      <c r="F73" s="12"/>
      <c r="G73" s="76"/>
      <c r="H73" s="41">
        <f>IF(A73="нет","",IF(L73=1,"курс","г."))</f>
      </c>
      <c r="I73" s="12"/>
      <c r="J73" s="467"/>
      <c r="K73" s="66">
        <f>IF(E73&lt;&gt;"год окончания",6,год+2000)</f>
        <v>2021</v>
      </c>
      <c r="L73" s="77">
        <f>IF(E73&lt;&gt;"год окончания",1,K73-6)</f>
        <v>2015</v>
      </c>
      <c r="M73" s="2">
        <f>IF(A73=N77,""," ("&amp;A73&amp;")")</f>
      </c>
      <c r="N73" s="5"/>
      <c r="S73" s="374"/>
      <c r="T73" s="3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3.75" customHeight="1">
      <c r="A74" s="78"/>
      <c r="B74" s="75"/>
      <c r="C74" s="75"/>
      <c r="D74" s="75"/>
      <c r="E74" s="75"/>
      <c r="F74" s="75"/>
      <c r="G74" s="75"/>
      <c r="H74" s="75"/>
      <c r="I74" s="12"/>
      <c r="J74" s="467"/>
      <c r="K74" s="5"/>
      <c r="N74" s="5"/>
      <c r="S74" s="374"/>
      <c r="T74" s="3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6.5" customHeight="1">
      <c r="A75" s="19"/>
      <c r="B75" s="717"/>
      <c r="C75" s="717"/>
      <c r="D75" s="717"/>
      <c r="E75" s="717"/>
      <c r="F75" s="717"/>
      <c r="G75" s="717"/>
      <c r="H75" s="717"/>
      <c r="I75" s="717"/>
      <c r="J75" s="718"/>
      <c r="K75" s="57">
        <f>LEN(L75)</f>
        <v>0</v>
      </c>
      <c r="L75" s="79">
        <f>IF(A73="нет","",TRIM(доп_по&amp;M75))</f>
      </c>
      <c r="M75" s="79">
        <f>IF(AND(E73="год окончания",год_доп_по&gt;=L73),", "&amp;год_доп_по&amp;H73,"")</f>
      </c>
      <c r="N75" s="67"/>
      <c r="O75" s="67"/>
      <c r="P75" s="67"/>
      <c r="Q75" s="67"/>
      <c r="R75" s="67"/>
      <c r="S75" s="374"/>
      <c r="T75" s="3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6.5" customHeight="1">
      <c r="A76" s="19"/>
      <c r="B76" s="717"/>
      <c r="C76" s="717"/>
      <c r="D76" s="717"/>
      <c r="E76" s="717"/>
      <c r="F76" s="717"/>
      <c r="G76" s="717"/>
      <c r="H76" s="717"/>
      <c r="I76" s="717"/>
      <c r="J76" s="718"/>
      <c r="K76" s="80" t="s">
        <v>26</v>
      </c>
      <c r="L76" s="81" t="s">
        <v>27</v>
      </c>
      <c r="N76" s="82" t="s">
        <v>28</v>
      </c>
      <c r="O76" s="69"/>
      <c r="P76" s="69"/>
      <c r="R76" s="69"/>
      <c r="S76" s="374"/>
      <c r="T76" s="3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57" ht="12.75" customHeight="1">
      <c r="A77" s="19"/>
      <c r="B77" s="717"/>
      <c r="C77" s="717"/>
      <c r="D77" s="717"/>
      <c r="E77" s="717"/>
      <c r="F77" s="717"/>
      <c r="G77" s="717"/>
      <c r="H77" s="717"/>
      <c r="I77" s="717"/>
      <c r="J77" s="718"/>
      <c r="K77" s="83"/>
      <c r="L77" s="53" t="s">
        <v>29</v>
      </c>
      <c r="N77" s="81" t="s">
        <v>25</v>
      </c>
      <c r="O77" s="69"/>
      <c r="P77" s="69"/>
      <c r="R77" s="69"/>
      <c r="S77" s="374"/>
      <c r="T77" s="3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</row>
    <row r="78" spans="1:57" ht="14.25" customHeight="1">
      <c r="A78" s="84"/>
      <c r="B78" s="12"/>
      <c r="C78" s="12"/>
      <c r="D78" s="12"/>
      <c r="E78" s="12"/>
      <c r="F78" s="12"/>
      <c r="G78" s="85"/>
      <c r="H78" s="85"/>
      <c r="I78" s="85"/>
      <c r="J78" s="86"/>
      <c r="K78" s="87"/>
      <c r="L78" s="302" t="s">
        <v>30</v>
      </c>
      <c r="M78" s="27"/>
      <c r="N78" s="81" t="s">
        <v>32</v>
      </c>
      <c r="O78" s="69"/>
      <c r="P78" s="69"/>
      <c r="R78" s="69"/>
      <c r="S78" s="374"/>
      <c r="T78" s="3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</row>
    <row r="79" spans="1:20" ht="15">
      <c r="A79" s="88"/>
      <c r="B79" s="89"/>
      <c r="C79" s="89"/>
      <c r="D79" s="89"/>
      <c r="E79" s="89"/>
      <c r="F79" s="89"/>
      <c r="G79" s="90"/>
      <c r="H79" s="12"/>
      <c r="I79" s="91"/>
      <c r="J79" s="92"/>
      <c r="K79" s="83"/>
      <c r="L79" s="53" t="s">
        <v>31</v>
      </c>
      <c r="M79" s="27"/>
      <c r="N79" s="81" t="s">
        <v>23</v>
      </c>
      <c r="O79" s="69"/>
      <c r="P79" s="69"/>
      <c r="R79" s="69"/>
      <c r="S79" s="374"/>
      <c r="T79" s="367"/>
    </row>
    <row r="80" spans="1:20" ht="15">
      <c r="A80" s="735" t="s">
        <v>27</v>
      </c>
      <c r="B80" s="736"/>
      <c r="C80" s="736"/>
      <c r="D80" s="736"/>
      <c r="E80" s="736"/>
      <c r="F80" s="12"/>
      <c r="G80" s="93"/>
      <c r="H80" s="94" t="str">
        <f>IF(G80&gt;=16,"да","нет")</f>
        <v>нет</v>
      </c>
      <c r="I80" s="95" t="s">
        <v>33</v>
      </c>
      <c r="J80" s="20"/>
      <c r="L80" s="53" t="s">
        <v>34</v>
      </c>
      <c r="M80" s="27"/>
      <c r="O80" s="69"/>
      <c r="P80" s="69"/>
      <c r="R80" s="69"/>
      <c r="S80" s="374"/>
      <c r="T80" s="367"/>
    </row>
    <row r="81" spans="1:20" ht="6.75" customHeight="1">
      <c r="A81" s="96"/>
      <c r="B81" s="12"/>
      <c r="C81" s="12"/>
      <c r="D81" s="29"/>
      <c r="E81" s="29"/>
      <c r="F81" s="29"/>
      <c r="G81" s="12"/>
      <c r="H81" s="29"/>
      <c r="I81" s="29"/>
      <c r="J81" s="468"/>
      <c r="S81" s="374"/>
      <c r="T81" s="367"/>
    </row>
    <row r="82" spans="1:20" ht="15">
      <c r="A82" s="28" t="s">
        <v>35</v>
      </c>
      <c r="B82" s="29"/>
      <c r="C82" s="29"/>
      <c r="D82" s="29"/>
      <c r="E82" s="29"/>
      <c r="F82" s="12"/>
      <c r="G82" s="701" t="s">
        <v>25</v>
      </c>
      <c r="H82" s="701"/>
      <c r="I82" s="29"/>
      <c r="J82" s="468"/>
      <c r="S82" s="374"/>
      <c r="T82" s="367"/>
    </row>
    <row r="83" spans="1:20" ht="15" customHeight="1">
      <c r="A83" s="719" t="s">
        <v>643</v>
      </c>
      <c r="B83" s="720"/>
      <c r="C83" s="720"/>
      <c r="D83" s="720"/>
      <c r="E83" s="720"/>
      <c r="F83" s="720"/>
      <c r="G83" s="701" t="s">
        <v>25</v>
      </c>
      <c r="H83" s="701"/>
      <c r="I83" s="29"/>
      <c r="J83" s="468"/>
      <c r="S83" s="374"/>
      <c r="T83" s="367"/>
    </row>
    <row r="84" spans="1:20" ht="5.25" customHeight="1">
      <c r="A84" s="28"/>
      <c r="B84" s="29"/>
      <c r="C84" s="29"/>
      <c r="D84" s="29"/>
      <c r="E84" s="29"/>
      <c r="F84" s="12"/>
      <c r="G84" s="29"/>
      <c r="H84" s="29"/>
      <c r="I84" s="29"/>
      <c r="J84" s="468"/>
      <c r="S84" s="374"/>
      <c r="T84" s="367"/>
    </row>
    <row r="85" spans="1:20" ht="15">
      <c r="A85" s="28" t="s">
        <v>36</v>
      </c>
      <c r="B85" s="29"/>
      <c r="C85" s="29"/>
      <c r="D85" s="29"/>
      <c r="E85" s="29"/>
      <c r="F85" s="12"/>
      <c r="G85" s="701" t="s">
        <v>25</v>
      </c>
      <c r="H85" s="701"/>
      <c r="I85" s="97"/>
      <c r="J85" s="98"/>
      <c r="M85" s="27"/>
      <c r="N85" s="3"/>
      <c r="O85" s="69"/>
      <c r="P85" s="69"/>
      <c r="Q85" s="69"/>
      <c r="R85" s="69"/>
      <c r="S85" s="374"/>
      <c r="T85" s="367"/>
    </row>
    <row r="86" spans="1:20" ht="15">
      <c r="A86" s="28" t="s">
        <v>37</v>
      </c>
      <c r="B86" s="29"/>
      <c r="C86" s="29"/>
      <c r="D86" s="29"/>
      <c r="E86" s="29"/>
      <c r="F86" s="12"/>
      <c r="G86" s="701" t="s">
        <v>25</v>
      </c>
      <c r="H86" s="701"/>
      <c r="I86" s="97" t="s">
        <v>38</v>
      </c>
      <c r="J86" s="99"/>
      <c r="M86" s="27"/>
      <c r="N86" s="100">
        <v>0</v>
      </c>
      <c r="O86" s="69"/>
      <c r="P86" s="69"/>
      <c r="Q86" s="69"/>
      <c r="R86" s="69"/>
      <c r="S86" s="374"/>
      <c r="T86" s="367"/>
    </row>
    <row r="87" spans="1:20" ht="15" hidden="1">
      <c r="A87" s="402"/>
      <c r="B87" s="469" t="s">
        <v>464</v>
      </c>
      <c r="C87" s="12"/>
      <c r="D87" s="635" t="s">
        <v>465</v>
      </c>
      <c r="E87" s="636"/>
      <c r="F87" s="636"/>
      <c r="G87" s="637" t="s">
        <v>25</v>
      </c>
      <c r="H87" s="636"/>
      <c r="I87" s="638" t="s">
        <v>644</v>
      </c>
      <c r="J87" s="405"/>
      <c r="M87" s="27"/>
      <c r="N87" s="100"/>
      <c r="O87" s="69"/>
      <c r="P87" s="69"/>
      <c r="Q87" s="69"/>
      <c r="R87" s="69"/>
      <c r="S87" s="374"/>
      <c r="T87" s="367"/>
    </row>
    <row r="88" spans="1:20" ht="15" hidden="1">
      <c r="A88" s="402"/>
      <c r="B88" s="12"/>
      <c r="C88" s="12"/>
      <c r="D88" s="470" t="s">
        <v>466</v>
      </c>
      <c r="E88" s="51"/>
      <c r="F88" s="50"/>
      <c r="G88" s="403" t="str">
        <f>IF(AND(A73&lt;&gt;"нет",K75&lt;&gt;0),"да","нет")</f>
        <v>нет</v>
      </c>
      <c r="H88" s="12"/>
      <c r="I88" s="471" t="s">
        <v>468</v>
      </c>
      <c r="J88" s="405"/>
      <c r="M88" s="27"/>
      <c r="N88" s="100"/>
      <c r="O88" s="69"/>
      <c r="P88" s="69"/>
      <c r="Q88" s="69"/>
      <c r="R88" s="69"/>
      <c r="S88" s="374"/>
      <c r="T88" s="367"/>
    </row>
    <row r="89" spans="1:20" ht="25.5" hidden="1">
      <c r="A89" s="472"/>
      <c r="B89" s="12"/>
      <c r="C89" s="12"/>
      <c r="D89" s="473" t="s">
        <v>467</v>
      </c>
      <c r="E89" s="439"/>
      <c r="F89" s="72"/>
      <c r="G89" s="404" t="str">
        <f>IF(ЭЗ!Y510&gt;0,"да","нет")</f>
        <v>нет</v>
      </c>
      <c r="H89" s="375"/>
      <c r="I89" s="474" t="s">
        <v>449</v>
      </c>
      <c r="J89" s="406"/>
      <c r="K89" s="407" t="s">
        <v>469</v>
      </c>
      <c r="L89" s="408" t="s">
        <v>470</v>
      </c>
      <c r="M89" s="27"/>
      <c r="N89" s="11"/>
      <c r="O89" s="12"/>
      <c r="S89" s="374"/>
      <c r="T89" s="367"/>
    </row>
    <row r="90" spans="1:20" ht="18" hidden="1">
      <c r="A90" s="687" t="str">
        <f>IF(вывод1="да",_72ч,"")</f>
        <v>В течение одного года пройти обучение по программе повышения квалификации. 
</v>
      </c>
      <c r="B90" s="688"/>
      <c r="C90" s="688"/>
      <c r="D90" s="688"/>
      <c r="E90" s="688"/>
      <c r="F90" s="688"/>
      <c r="G90" s="688"/>
      <c r="H90" s="688"/>
      <c r="I90" s="688"/>
      <c r="J90" s="689"/>
      <c r="K90" s="463" t="str">
        <f>IF(COUNTIF(G80:H89,"да"),"нет","да")</f>
        <v>да</v>
      </c>
      <c r="L90" s="409" t="s">
        <v>471</v>
      </c>
      <c r="M90" s="27"/>
      <c r="N90" s="11"/>
      <c r="O90" s="12"/>
      <c r="S90" s="374"/>
      <c r="T90" s="367"/>
    </row>
    <row r="91" spans="1:20" ht="12.75" hidden="1">
      <c r="A91" s="687"/>
      <c r="B91" s="688"/>
      <c r="C91" s="688"/>
      <c r="D91" s="688"/>
      <c r="E91" s="688"/>
      <c r="F91" s="688"/>
      <c r="G91" s="688"/>
      <c r="H91" s="688"/>
      <c r="I91" s="688"/>
      <c r="J91" s="689"/>
      <c r="K91" s="103"/>
      <c r="M91" s="27"/>
      <c r="N91" s="11"/>
      <c r="O91" s="12"/>
      <c r="S91" s="374"/>
      <c r="T91" s="367"/>
    </row>
    <row r="92" spans="1:20" ht="6" customHeight="1">
      <c r="A92" s="475"/>
      <c r="B92" s="476"/>
      <c r="C92" s="476"/>
      <c r="D92" s="782"/>
      <c r="E92" s="782"/>
      <c r="F92" s="782"/>
      <c r="G92" s="782"/>
      <c r="H92" s="782"/>
      <c r="I92" s="782"/>
      <c r="J92" s="783"/>
      <c r="L92" s="5"/>
      <c r="M92" s="5"/>
      <c r="N92" s="104"/>
      <c r="O92" s="18"/>
      <c r="P92" s="57"/>
      <c r="Q92" s="57"/>
      <c r="R92" s="69"/>
      <c r="S92" s="374"/>
      <c r="T92" s="367"/>
    </row>
    <row r="93" spans="1:20" ht="20.25" customHeight="1">
      <c r="A93" s="731" t="s">
        <v>40</v>
      </c>
      <c r="B93" s="732"/>
      <c r="C93" s="732"/>
      <c r="D93" s="732"/>
      <c r="E93" s="732"/>
      <c r="F93" s="732"/>
      <c r="G93" s="732"/>
      <c r="H93" s="732"/>
      <c r="I93" s="732"/>
      <c r="J93" s="105"/>
      <c r="K93" s="106" t="s">
        <v>41</v>
      </c>
      <c r="M93" s="27"/>
      <c r="N93" s="104"/>
      <c r="O93" s="18"/>
      <c r="P93" s="57"/>
      <c r="Q93" s="57"/>
      <c r="R93" s="57"/>
      <c r="S93" s="374"/>
      <c r="T93" s="367"/>
    </row>
    <row r="94" spans="1:20" s="57" customFormat="1" ht="4.5" customHeight="1">
      <c r="A94" s="370"/>
      <c r="B94" s="371"/>
      <c r="C94" s="371"/>
      <c r="D94" s="371"/>
      <c r="E94" s="371"/>
      <c r="F94" s="371"/>
      <c r="G94" s="371"/>
      <c r="H94" s="371"/>
      <c r="I94" s="371"/>
      <c r="J94" s="372"/>
      <c r="K94" s="373"/>
      <c r="L94" s="114"/>
      <c r="M94" s="219"/>
      <c r="N94" s="104"/>
      <c r="O94" s="18"/>
      <c r="S94" s="374"/>
      <c r="T94" s="367"/>
    </row>
    <row r="95" spans="1:20" ht="15" customHeight="1">
      <c r="A95" s="719" t="str">
        <f>L174</f>
        <v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v>
      </c>
      <c r="B95" s="720"/>
      <c r="C95" s="720"/>
      <c r="D95" s="720"/>
      <c r="E95" s="720"/>
      <c r="F95" s="720"/>
      <c r="G95" s="720"/>
      <c r="H95" s="720"/>
      <c r="I95" s="12"/>
      <c r="J95" s="20"/>
      <c r="K95" s="107"/>
      <c r="N95" s="11"/>
      <c r="O95" s="12"/>
      <c r="S95" s="374"/>
      <c r="T95" s="367"/>
    </row>
    <row r="96" spans="1:20" ht="15.75">
      <c r="A96" s="719"/>
      <c r="B96" s="720"/>
      <c r="C96" s="720"/>
      <c r="D96" s="720"/>
      <c r="E96" s="720"/>
      <c r="F96" s="720"/>
      <c r="G96" s="720"/>
      <c r="H96" s="720"/>
      <c r="I96" s="23" t="s">
        <v>25</v>
      </c>
      <c r="J96" s="108" t="str">
        <f>IF(OR(G82="да",G83="да",G87="да"),"да",рек2)</f>
        <v>нет</v>
      </c>
      <c r="K96" s="102" t="s">
        <v>43</v>
      </c>
      <c r="M96" s="103"/>
      <c r="S96" s="374"/>
      <c r="T96" s="367"/>
    </row>
    <row r="97" spans="1:20" ht="32.25" customHeight="1">
      <c r="A97" s="719"/>
      <c r="B97" s="720"/>
      <c r="C97" s="720"/>
      <c r="D97" s="720"/>
      <c r="E97" s="720"/>
      <c r="F97" s="720"/>
      <c r="G97" s="720"/>
      <c r="H97" s="720"/>
      <c r="I97" s="109"/>
      <c r="J97" s="71"/>
      <c r="K97" s="103"/>
      <c r="L97" s="609" t="s">
        <v>622</v>
      </c>
      <c r="S97" s="374"/>
      <c r="T97" s="367"/>
    </row>
    <row r="98" spans="1:20" ht="15" customHeight="1" hidden="1">
      <c r="A98" s="719" t="str">
        <f>M174</f>
        <v> ---</v>
      </c>
      <c r="B98" s="720"/>
      <c r="C98" s="720"/>
      <c r="D98" s="720"/>
      <c r="E98" s="720"/>
      <c r="F98" s="720"/>
      <c r="G98" s="720"/>
      <c r="H98" s="720"/>
      <c r="I98" s="12"/>
      <c r="J98" s="20"/>
      <c r="K98" s="103"/>
      <c r="L98" s="435" t="s">
        <v>494</v>
      </c>
      <c r="M98" s="3" t="s">
        <v>484</v>
      </c>
      <c r="N98" s="111" t="str">
        <f>IF(долж_ОС="учитель","учитель","преподаватель")</f>
        <v>преподаватель</v>
      </c>
      <c r="S98" s="374"/>
      <c r="T98" s="367"/>
    </row>
    <row r="99" spans="1:20" ht="15" hidden="1">
      <c r="A99" s="719"/>
      <c r="B99" s="720"/>
      <c r="C99" s="720"/>
      <c r="D99" s="720"/>
      <c r="E99" s="720"/>
      <c r="F99" s="720"/>
      <c r="G99" s="720"/>
      <c r="H99" s="720"/>
      <c r="I99" s="23" t="s">
        <v>25</v>
      </c>
      <c r="J99" s="98"/>
      <c r="K99" s="102" t="s">
        <v>45</v>
      </c>
      <c r="L99" s="436" t="s">
        <v>493</v>
      </c>
      <c r="M99" s="3" t="s">
        <v>620</v>
      </c>
      <c r="N99" s="4" t="s">
        <v>621</v>
      </c>
      <c r="O99" s="5" t="s">
        <v>623</v>
      </c>
      <c r="S99" s="374"/>
      <c r="T99" s="367"/>
    </row>
    <row r="100" spans="1:20" ht="18" hidden="1">
      <c r="A100" s="477" t="s">
        <v>39</v>
      </c>
      <c r="B100" s="411" t="s">
        <v>472</v>
      </c>
      <c r="C100" s="312"/>
      <c r="D100" s="312"/>
      <c r="E100" s="12"/>
      <c r="F100" s="410" t="str">
        <f>HLOOKUP(G100,$L$99:$S$100,2)</f>
        <v>да</v>
      </c>
      <c r="G100" s="419" t="s">
        <v>493</v>
      </c>
      <c r="H100" s="12"/>
      <c r="I100" s="12"/>
      <c r="J100" s="20"/>
      <c r="K100" s="18"/>
      <c r="L100" s="417" t="str">
        <f>IF(AND(J96="нет",рек3="нет"),"да","нет")</f>
        <v>да</v>
      </c>
      <c r="M100" s="417" t="str">
        <f>IF(AND(I96="да",рек3="да"),"нет","да")</f>
        <v>да</v>
      </c>
      <c r="N100" s="417" t="str">
        <f>IF(AND(J96="нет",рек3="нет"),"да","нет")</f>
        <v>да</v>
      </c>
      <c r="O100" s="417" t="str">
        <f>IF(J96="нет","да","нет")</f>
        <v>да</v>
      </c>
      <c r="S100" s="374"/>
      <c r="T100" s="367"/>
    </row>
    <row r="101" spans="1:20" ht="45" hidden="1">
      <c r="A101" s="687" t="str">
        <f>IF(F100="да",_дпо,"")</f>
        <v>Получить  дополнительное профессиональное образование по направлению подготовки  "Педагогика и психология". </v>
      </c>
      <c r="B101" s="688"/>
      <c r="C101" s="688"/>
      <c r="D101" s="688"/>
      <c r="E101" s="688"/>
      <c r="F101" s="688"/>
      <c r="G101" s="688"/>
      <c r="H101" s="688"/>
      <c r="I101" s="688"/>
      <c r="J101" s="689"/>
      <c r="K101" s="102" t="s">
        <v>46</v>
      </c>
      <c r="L101" s="418" t="s">
        <v>485</v>
      </c>
      <c r="M101" s="418" t="s">
        <v>486</v>
      </c>
      <c r="N101" s="418" t="s">
        <v>485</v>
      </c>
      <c r="S101" s="374"/>
      <c r="T101" s="367"/>
    </row>
    <row r="102" spans="1:20" ht="12.75" hidden="1">
      <c r="A102" s="687">
        <f>IF(рек3="нет",_рек3,"")</f>
      </c>
      <c r="B102" s="688"/>
      <c r="C102" s="688"/>
      <c r="D102" s="688"/>
      <c r="E102" s="688"/>
      <c r="F102" s="688"/>
      <c r="G102" s="688"/>
      <c r="H102" s="688"/>
      <c r="I102" s="688"/>
      <c r="J102" s="689"/>
      <c r="K102" s="102" t="s">
        <v>47</v>
      </c>
      <c r="M102" s="110"/>
      <c r="S102" s="374"/>
      <c r="T102" s="367"/>
    </row>
    <row r="103" spans="1:20" ht="5.25" customHeight="1" hidden="1">
      <c r="A103" s="19"/>
      <c r="B103" s="103"/>
      <c r="C103" s="12"/>
      <c r="D103" s="12"/>
      <c r="E103" s="12"/>
      <c r="F103" s="111"/>
      <c r="G103" s="12"/>
      <c r="H103" s="12"/>
      <c r="I103" s="12"/>
      <c r="J103" s="20"/>
      <c r="K103" s="18"/>
      <c r="L103" s="103"/>
      <c r="M103" s="112"/>
      <c r="N103" s="11"/>
      <c r="O103" s="12"/>
      <c r="P103" s="12"/>
      <c r="Q103" s="12"/>
      <c r="R103" s="12"/>
      <c r="S103" s="374"/>
      <c r="T103" s="367"/>
    </row>
    <row r="104" spans="1:20" s="57" customFormat="1" ht="14.25">
      <c r="A104" s="767" t="s">
        <v>501</v>
      </c>
      <c r="B104" s="777"/>
      <c r="C104" s="777"/>
      <c r="D104" s="777"/>
      <c r="E104" s="777"/>
      <c r="F104" s="777"/>
      <c r="G104" s="777"/>
      <c r="H104" s="777"/>
      <c r="I104" s="777"/>
      <c r="J104" s="105"/>
      <c r="M104" s="101"/>
      <c r="O104" s="18"/>
      <c r="S104" s="374"/>
      <c r="T104" s="367"/>
    </row>
    <row r="105" spans="1:20" ht="10.5" customHeight="1">
      <c r="A105" s="478"/>
      <c r="B105" s="312"/>
      <c r="C105" s="312"/>
      <c r="D105" s="312"/>
      <c r="E105" s="312"/>
      <c r="F105" s="312"/>
      <c r="G105" s="312"/>
      <c r="H105" s="312"/>
      <c r="I105" s="312"/>
      <c r="J105" s="479"/>
      <c r="L105" s="5"/>
      <c r="M105" s="5"/>
      <c r="N105" s="104"/>
      <c r="O105" s="18"/>
      <c r="P105" s="57"/>
      <c r="Q105" s="57"/>
      <c r="R105" s="69"/>
      <c r="S105" s="374"/>
      <c r="T105" s="367"/>
    </row>
    <row r="106" spans="1:20" ht="19.5" customHeight="1">
      <c r="A106" s="366" t="s">
        <v>492</v>
      </c>
      <c r="B106" s="312"/>
      <c r="C106" s="312"/>
      <c r="D106" s="312"/>
      <c r="E106" s="312"/>
      <c r="F106" s="312"/>
      <c r="G106" s="778" t="s">
        <v>25</v>
      </c>
      <c r="H106" s="778"/>
      <c r="I106" s="12"/>
      <c r="J106" s="479"/>
      <c r="K106" s="5"/>
      <c r="L106" s="5"/>
      <c r="M106" s="265"/>
      <c r="N106" s="104"/>
      <c r="O106" s="18"/>
      <c r="P106" s="57"/>
      <c r="Q106" s="57"/>
      <c r="S106" s="374"/>
      <c r="T106" s="367"/>
    </row>
    <row r="107" spans="1:20" ht="8.25" customHeight="1">
      <c r="A107" s="478"/>
      <c r="B107" s="312"/>
      <c r="C107" s="312"/>
      <c r="D107" s="312"/>
      <c r="E107" s="312">
        <f>IF(D106="да",#REF!,"")</f>
      </c>
      <c r="F107" s="312"/>
      <c r="G107" s="312"/>
      <c r="H107" s="312"/>
      <c r="I107" s="312"/>
      <c r="J107" s="479"/>
      <c r="L107" s="57"/>
      <c r="M107" s="219"/>
      <c r="N107" s="104"/>
      <c r="O107" s="18"/>
      <c r="P107" s="57"/>
      <c r="Q107" s="57"/>
      <c r="R107" s="57"/>
      <c r="S107" s="374"/>
      <c r="T107" s="367"/>
    </row>
    <row r="108" spans="1:20" ht="21" customHeight="1">
      <c r="A108" s="692" t="s">
        <v>48</v>
      </c>
      <c r="B108" s="693"/>
      <c r="C108" s="693"/>
      <c r="D108" s="693"/>
      <c r="E108" s="693"/>
      <c r="F108" s="693"/>
      <c r="G108" s="693"/>
      <c r="H108" s="693"/>
      <c r="I108" s="693"/>
      <c r="J108" s="24"/>
      <c r="K108" s="25"/>
      <c r="L108" s="103"/>
      <c r="M108" s="10"/>
      <c r="N108" s="11"/>
      <c r="O108" s="12"/>
      <c r="P108" s="12"/>
      <c r="Q108" s="12"/>
      <c r="R108" s="12"/>
      <c r="S108" s="374"/>
      <c r="T108" s="367"/>
    </row>
    <row r="109" spans="1:256" ht="3.75" customHeight="1">
      <c r="A109" s="113"/>
      <c r="B109" s="25"/>
      <c r="C109" s="25"/>
      <c r="D109" s="25"/>
      <c r="E109" s="25"/>
      <c r="F109" s="25"/>
      <c r="G109" s="25"/>
      <c r="H109" s="25"/>
      <c r="I109" s="25"/>
      <c r="J109" s="71"/>
      <c r="K109" s="25"/>
      <c r="L109" s="114"/>
      <c r="M109" s="115"/>
      <c r="N109" s="116"/>
      <c r="O109" s="57"/>
      <c r="P109" s="57"/>
      <c r="Q109" s="57"/>
      <c r="R109" s="18"/>
      <c r="S109" s="374"/>
      <c r="T109" s="36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7"/>
      <c r="IV109" s="57"/>
    </row>
    <row r="110" spans="1:256" ht="15">
      <c r="A110" s="117" t="s">
        <v>49</v>
      </c>
      <c r="B110" s="25"/>
      <c r="C110" s="25"/>
      <c r="D110" s="25"/>
      <c r="E110" s="25"/>
      <c r="F110" s="490">
        <v>2</v>
      </c>
      <c r="G110" s="25"/>
      <c r="H110" s="25"/>
      <c r="I110" s="25"/>
      <c r="J110" s="71"/>
      <c r="K110" s="25"/>
      <c r="L110" s="114"/>
      <c r="M110" s="115"/>
      <c r="N110" s="116"/>
      <c r="O110" s="57"/>
      <c r="P110" s="57"/>
      <c r="Q110" s="57"/>
      <c r="R110" s="18"/>
      <c r="S110" s="374"/>
      <c r="T110" s="36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  <c r="IR110" s="57"/>
      <c r="IS110" s="57"/>
      <c r="IT110" s="57"/>
      <c r="IU110" s="57"/>
      <c r="IV110" s="57"/>
    </row>
    <row r="111" spans="1:20" ht="3.75" customHeight="1">
      <c r="A111" s="118"/>
      <c r="B111" s="69"/>
      <c r="C111" s="69"/>
      <c r="D111" s="69"/>
      <c r="E111" s="69"/>
      <c r="F111" s="69"/>
      <c r="G111" s="69"/>
      <c r="H111" s="69"/>
      <c r="I111" s="69"/>
      <c r="J111" s="119"/>
      <c r="K111" s="120"/>
      <c r="R111" s="12"/>
      <c r="S111" s="374"/>
      <c r="T111" s="367"/>
    </row>
    <row r="112" spans="1:20" ht="15">
      <c r="A112" s="121" t="s">
        <v>50</v>
      </c>
      <c r="B112" s="69"/>
      <c r="C112" s="694"/>
      <c r="D112" s="694"/>
      <c r="E112" s="694"/>
      <c r="F112" s="694"/>
      <c r="G112" s="694"/>
      <c r="H112" s="694"/>
      <c r="I112" s="694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74"/>
      <c r="T112" s="367"/>
    </row>
    <row r="113" spans="1:20" ht="18">
      <c r="A113" s="702" t="s">
        <v>51</v>
      </c>
      <c r="B113" s="69"/>
      <c r="C113" s="691" t="s">
        <v>52</v>
      </c>
      <c r="D113" s="691"/>
      <c r="E113" s="691"/>
      <c r="F113" s="691"/>
      <c r="G113" s="691"/>
      <c r="H113" s="691"/>
      <c r="I113" s="124"/>
      <c r="J113" s="125"/>
      <c r="K113" s="126"/>
      <c r="L113" s="26"/>
      <c r="R113" s="12"/>
      <c r="S113" s="374"/>
      <c r="T113" s="367"/>
    </row>
    <row r="114" spans="1:20" ht="15.75" customHeight="1">
      <c r="A114" s="702"/>
      <c r="B114" s="127" t="s">
        <v>53</v>
      </c>
      <c r="C114" s="694"/>
      <c r="D114" s="694"/>
      <c r="E114" s="694"/>
      <c r="F114" s="694"/>
      <c r="G114" s="694"/>
      <c r="H114" s="694"/>
      <c r="I114" s="694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74"/>
      <c r="T114" s="367"/>
    </row>
    <row r="115" spans="1:20" ht="18">
      <c r="A115" s="128"/>
      <c r="B115" s="127"/>
      <c r="C115" s="691" t="s">
        <v>52</v>
      </c>
      <c r="D115" s="691"/>
      <c r="E115" s="691"/>
      <c r="F115" s="691"/>
      <c r="G115" s="691"/>
      <c r="H115" s="691"/>
      <c r="I115" s="124"/>
      <c r="J115" s="125"/>
      <c r="K115" s="126"/>
      <c r="R115" s="12"/>
      <c r="S115" s="374"/>
      <c r="T115" s="367"/>
    </row>
    <row r="116" spans="1:20" ht="12.75" customHeight="1">
      <c r="A116" s="128"/>
      <c r="B116" s="127" t="str">
        <f>IF($F$110&gt;1,"2)","")</f>
        <v>2)</v>
      </c>
      <c r="C116" s="694"/>
      <c r="D116" s="694"/>
      <c r="E116" s="694"/>
      <c r="F116" s="694"/>
      <c r="G116" s="694"/>
      <c r="H116" s="694"/>
      <c r="I116" s="694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74"/>
      <c r="T116" s="367"/>
    </row>
    <row r="117" spans="1:20" ht="18">
      <c r="A117" s="128"/>
      <c r="B117" s="127"/>
      <c r="C117" s="691" t="s">
        <v>52</v>
      </c>
      <c r="D117" s="691"/>
      <c r="E117" s="691"/>
      <c r="F117" s="691"/>
      <c r="G117" s="691"/>
      <c r="H117" s="691"/>
      <c r="I117" s="124"/>
      <c r="J117" s="125"/>
      <c r="K117" s="126"/>
      <c r="R117" s="12"/>
      <c r="S117" s="374"/>
      <c r="T117" s="367"/>
    </row>
    <row r="118" spans="1:20" ht="15.75" customHeight="1" hidden="1">
      <c r="A118" s="129"/>
      <c r="B118" s="127">
        <f>IF($F$110&gt;2,"3)","")</f>
      </c>
      <c r="C118" s="703"/>
      <c r="D118" s="703"/>
      <c r="E118" s="703"/>
      <c r="F118" s="703"/>
      <c r="G118" s="703"/>
      <c r="H118" s="703"/>
      <c r="I118" s="703"/>
      <c r="J118" s="122"/>
      <c r="K118" s="123"/>
      <c r="L118" s="26">
        <f>IF(LEN(M118)&gt;40,N118,M118)</f>
      </c>
      <c r="M118" s="3">
        <f>PROPER(TRIM(C118))</f>
      </c>
      <c r="N118" s="4">
        <f>IF(M118="","",LEFT(M118,(FIND(" ",M118)+1))&amp;"."&amp;MID(M118,FIND(" ",M118,FIND(" ",M118)+1)+1,1)&amp;".")</f>
      </c>
      <c r="R118" s="12"/>
      <c r="S118" s="374"/>
      <c r="T118" s="367"/>
    </row>
    <row r="119" spans="1:20" ht="15.75" customHeight="1" hidden="1">
      <c r="A119" s="129"/>
      <c r="B119" s="130"/>
      <c r="C119" s="704" t="s">
        <v>54</v>
      </c>
      <c r="D119" s="704"/>
      <c r="E119" s="704"/>
      <c r="F119" s="704"/>
      <c r="G119" s="704"/>
      <c r="H119" s="704"/>
      <c r="I119" s="124"/>
      <c r="J119" s="125"/>
      <c r="K119" s="126"/>
      <c r="R119" s="12"/>
      <c r="S119" s="374"/>
      <c r="T119" s="367"/>
    </row>
    <row r="120" spans="1:20" ht="4.5" customHeight="1">
      <c r="A120" s="19"/>
      <c r="B120" s="12"/>
      <c r="C120" s="12"/>
      <c r="D120" s="12"/>
      <c r="E120" s="12"/>
      <c r="F120" s="12"/>
      <c r="G120" s="12"/>
      <c r="H120" s="12"/>
      <c r="I120" s="12"/>
      <c r="J120" s="131"/>
      <c r="K120" s="18"/>
      <c r="R120" s="12"/>
      <c r="S120" s="374"/>
      <c r="T120" s="367"/>
    </row>
    <row r="121" spans="1:20" ht="15.75" customHeight="1">
      <c r="A121" s="132" t="s">
        <v>55</v>
      </c>
      <c r="B121" s="133" t="s">
        <v>56</v>
      </c>
      <c r="C121" s="494">
        <v>1</v>
      </c>
      <c r="D121" s="134" t="s">
        <v>57</v>
      </c>
      <c r="E121" s="494" t="s">
        <v>58</v>
      </c>
      <c r="F121" s="135"/>
      <c r="G121" s="136">
        <v>20</v>
      </c>
      <c r="H121" s="495">
        <v>21</v>
      </c>
      <c r="I121" s="137" t="s">
        <v>59</v>
      </c>
      <c r="J121" s="138"/>
      <c r="K121" s="3" t="str">
        <f>IF(фио_ОС&lt;&gt;""," « "&amp;'общие сведения'!C121&amp;" » "&amp;'общие сведения'!E121&amp;" 20"&amp;год&amp;" г.","« __ » ___________  20__ г.")</f>
        <v>« __ » ___________  20__ г.</v>
      </c>
      <c r="R121" s="12"/>
      <c r="S121" s="374"/>
      <c r="T121" s="367"/>
    </row>
    <row r="122" spans="1:20" ht="12.75" customHeight="1">
      <c r="A122" s="132"/>
      <c r="B122" s="133"/>
      <c r="C122" s="134"/>
      <c r="D122" s="134"/>
      <c r="E122" s="134"/>
      <c r="F122" s="134"/>
      <c r="G122" s="134"/>
      <c r="H122" s="134"/>
      <c r="I122" s="137"/>
      <c r="J122" s="138"/>
      <c r="K122" s="3"/>
      <c r="R122" s="12"/>
      <c r="S122" s="374"/>
      <c r="T122" s="367"/>
    </row>
    <row r="123" spans="1:20" ht="24" customHeight="1">
      <c r="A123" s="705" t="s">
        <v>451</v>
      </c>
      <c r="B123" s="706"/>
      <c r="C123" s="706"/>
      <c r="D123" s="706"/>
      <c r="E123" s="706"/>
      <c r="F123" s="706"/>
      <c r="G123" s="706"/>
      <c r="H123" s="706"/>
      <c r="I123" s="706"/>
      <c r="J123" s="480"/>
      <c r="K123" s="18"/>
      <c r="R123" s="12"/>
      <c r="S123" s="374"/>
      <c r="T123" s="367"/>
    </row>
    <row r="124" spans="1:20" ht="15.75" customHeight="1">
      <c r="A124" s="498"/>
      <c r="B124" s="499"/>
      <c r="C124" s="499"/>
      <c r="D124" s="500"/>
      <c r="E124" s="501">
        <f>IF(F124="","","Всего набрано аттестуемым педагогическим работником  ")</f>
      </c>
      <c r="F124" s="502">
        <f>ЭЗ!Всего</f>
      </c>
      <c r="G124" s="503">
        <f>IF(F124="","","баллов.")</f>
      </c>
      <c r="H124" s="500"/>
      <c r="I124" s="667">
        <f>IF(F124="","","(мин. П-"&amp;порог_п&amp;", В-"&amp;порог_в&amp;")")</f>
      </c>
      <c r="J124" s="391"/>
      <c r="K124" s="18"/>
      <c r="R124" s="12"/>
      <c r="S124" s="374"/>
      <c r="T124" s="367"/>
    </row>
    <row r="125" spans="1:20" ht="23.25" customHeight="1">
      <c r="A125" s="504"/>
      <c r="B125" s="505"/>
      <c r="C125" s="505"/>
      <c r="D125" s="505"/>
      <c r="E125" s="505"/>
      <c r="F125" s="506"/>
      <c r="G125" s="505"/>
      <c r="H125" s="699">
        <f>IF(F124="","","Пороговое кол-во баллов для педагога-психолога "&amp;Q12&amp;"
"&amp;B29)</f>
      </c>
      <c r="I125" s="699"/>
      <c r="J125" s="700"/>
      <c r="K125" s="18"/>
      <c r="R125" s="12"/>
      <c r="S125" s="374"/>
      <c r="T125" s="367"/>
    </row>
    <row r="126" spans="1:20" ht="15" customHeight="1">
      <c r="A126" s="753">
        <f>IF(OR(фио_ОС="",F124=0),"",ЭЗ!Z83&amp;K127&amp;ЭЗ!Z84)</f>
      </c>
      <c r="B126" s="754"/>
      <c r="C126" s="754"/>
      <c r="D126" s="754"/>
      <c r="E126" s="754"/>
      <c r="F126" s="754"/>
      <c r="G126" s="754"/>
      <c r="H126" s="754"/>
      <c r="I126" s="754"/>
      <c r="J126" s="755"/>
      <c r="K126" s="18">
        <f>ЭЗ!Z82</f>
      </c>
      <c r="R126" s="12"/>
      <c r="S126" s="374"/>
      <c r="T126" s="367"/>
    </row>
    <row r="127" spans="1:20" ht="23.25" customHeight="1">
      <c r="A127" s="753"/>
      <c r="B127" s="754"/>
      <c r="C127" s="754"/>
      <c r="D127" s="754"/>
      <c r="E127" s="754"/>
      <c r="F127" s="754"/>
      <c r="G127" s="754"/>
      <c r="H127" s="754"/>
      <c r="I127" s="754"/>
      <c r="J127" s="755"/>
      <c r="K127" s="416" t="s">
        <v>452</v>
      </c>
      <c r="L127" s="2" t="s">
        <v>482</v>
      </c>
      <c r="R127" s="12"/>
      <c r="S127" s="374"/>
      <c r="T127" s="367"/>
    </row>
    <row r="128" spans="1:20" ht="15.75" customHeight="1">
      <c r="A128" s="723">
        <f>IF(A129="","","Рекомендации: ")</f>
      </c>
      <c r="B128" s="724"/>
      <c r="C128" s="724"/>
      <c r="D128" s="724"/>
      <c r="E128" s="724"/>
      <c r="F128" s="724"/>
      <c r="G128" s="724"/>
      <c r="H128" s="724"/>
      <c r="I128" s="724"/>
      <c r="J128" s="725"/>
      <c r="K128" s="18"/>
      <c r="R128" s="12"/>
      <c r="S128" s="374"/>
      <c r="T128" s="367"/>
    </row>
    <row r="129" spans="1:20" ht="29.25" customHeight="1">
      <c r="A129" s="707">
        <f>IF(фио_ОС="","",рек_итог)</f>
      </c>
      <c r="B129" s="708"/>
      <c r="C129" s="708"/>
      <c r="D129" s="708"/>
      <c r="E129" s="708"/>
      <c r="F129" s="708"/>
      <c r="G129" s="708"/>
      <c r="H129" s="708"/>
      <c r="I129" s="708"/>
      <c r="J129" s="709"/>
      <c r="K129" s="18"/>
      <c r="R129" s="12"/>
      <c r="S129" s="374"/>
      <c r="T129" s="367"/>
    </row>
    <row r="130" spans="1:20" ht="2.25" customHeight="1">
      <c r="A130" s="507"/>
      <c r="B130" s="508"/>
      <c r="C130" s="508"/>
      <c r="D130" s="508"/>
      <c r="E130" s="508"/>
      <c r="F130" s="508"/>
      <c r="G130" s="508"/>
      <c r="H130" s="508"/>
      <c r="I130" s="508"/>
      <c r="J130" s="140"/>
      <c r="K130" s="18"/>
      <c r="R130" s="12"/>
      <c r="S130" s="374"/>
      <c r="T130" s="367"/>
    </row>
    <row r="131" spans="1:20" ht="15.75" customHeight="1">
      <c r="A131" s="711" t="str">
        <f>IF(ЭЗ!A569&lt;12,"Введите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31" s="712"/>
      <c r="C131" s="712"/>
      <c r="D131" s="712"/>
      <c r="E131" s="712"/>
      <c r="F131" s="712"/>
      <c r="G131" s="712"/>
      <c r="H131" s="712"/>
      <c r="I131" s="712"/>
      <c r="J131" s="713"/>
      <c r="K131" s="1"/>
      <c r="R131" s="12"/>
      <c r="S131" s="374"/>
      <c r="T131" s="367"/>
    </row>
    <row r="132" spans="1:20" ht="9" customHeight="1">
      <c r="A132" s="714"/>
      <c r="B132" s="715"/>
      <c r="C132" s="715"/>
      <c r="D132" s="715"/>
      <c r="E132" s="715"/>
      <c r="F132" s="715"/>
      <c r="G132" s="715"/>
      <c r="H132" s="715"/>
      <c r="I132" s="715"/>
      <c r="J132" s="716"/>
      <c r="K132" s="307" t="s">
        <v>60</v>
      </c>
      <c r="R132" s="12"/>
      <c r="S132" s="374"/>
      <c r="T132" s="367"/>
    </row>
    <row r="133" spans="1:20" ht="12.75" customHeight="1" hidden="1">
      <c r="A133" s="12"/>
      <c r="B133" s="141">
        <v>1</v>
      </c>
      <c r="C133" s="141">
        <v>2</v>
      </c>
      <c r="D133" s="141">
        <v>3</v>
      </c>
      <c r="E133" s="141">
        <v>4</v>
      </c>
      <c r="F133" s="141">
        <v>5</v>
      </c>
      <c r="G133" s="141">
        <v>6</v>
      </c>
      <c r="H133" s="141">
        <v>7</v>
      </c>
      <c r="I133" s="12"/>
      <c r="K133" s="2"/>
      <c r="L133" s="3"/>
      <c r="M133" s="4"/>
      <c r="N133" s="5"/>
      <c r="P133" s="142"/>
      <c r="Q133" s="12"/>
      <c r="R133" s="12"/>
      <c r="S133" s="374"/>
      <c r="T133" s="367"/>
    </row>
    <row r="134" spans="1:20" ht="15.75" customHeight="1" hidden="1">
      <c r="A134" s="12">
        <v>1</v>
      </c>
      <c r="B134" s="305" t="s">
        <v>61</v>
      </c>
      <c r="C134" s="306" t="s">
        <v>62</v>
      </c>
      <c r="D134" s="307" t="s">
        <v>63</v>
      </c>
      <c r="E134" s="306" t="s">
        <v>64</v>
      </c>
      <c r="F134" s="305" t="s">
        <v>65</v>
      </c>
      <c r="G134" s="306" t="s">
        <v>66</v>
      </c>
      <c r="H134" s="305" t="s">
        <v>67</v>
      </c>
      <c r="I134" s="308"/>
      <c r="J134" s="309" t="s">
        <v>335</v>
      </c>
      <c r="K134" s="2"/>
      <c r="L134" s="3"/>
      <c r="M134" s="4"/>
      <c r="N134" s="5"/>
      <c r="P134" s="142"/>
      <c r="Q134" s="12"/>
      <c r="R134" s="12"/>
      <c r="S134" s="374"/>
      <c r="T134" s="367"/>
    </row>
    <row r="135" spans="1:20" ht="15.75" customHeight="1" hidden="1">
      <c r="A135" s="12">
        <v>2</v>
      </c>
      <c r="B135" s="305" t="s">
        <v>272</v>
      </c>
      <c r="C135" s="306" t="s">
        <v>68</v>
      </c>
      <c r="D135" s="307" t="s">
        <v>331</v>
      </c>
      <c r="E135" s="306" t="s">
        <v>69</v>
      </c>
      <c r="F135" s="305" t="s">
        <v>70</v>
      </c>
      <c r="G135" s="306" t="s">
        <v>71</v>
      </c>
      <c r="H135" s="305" t="s">
        <v>72</v>
      </c>
      <c r="I135" s="12"/>
      <c r="K135" s="2"/>
      <c r="L135" s="3"/>
      <c r="M135" s="4"/>
      <c r="N135" s="5"/>
      <c r="P135" s="142"/>
      <c r="Q135" s="12"/>
      <c r="R135" s="12"/>
      <c r="S135" s="374"/>
      <c r="T135" s="367"/>
    </row>
    <row r="136" spans="1:20" ht="15.75" customHeight="1" hidden="1">
      <c r="A136" s="12">
        <v>3</v>
      </c>
      <c r="B136" s="305" t="s">
        <v>73</v>
      </c>
      <c r="C136" s="306" t="s">
        <v>74</v>
      </c>
      <c r="D136" s="307" t="s">
        <v>75</v>
      </c>
      <c r="E136" s="306" t="s">
        <v>76</v>
      </c>
      <c r="F136" s="305" t="s">
        <v>77</v>
      </c>
      <c r="G136" s="306" t="s">
        <v>78</v>
      </c>
      <c r="H136" s="305" t="s">
        <v>79</v>
      </c>
      <c r="I136" s="12"/>
      <c r="K136" s="2"/>
      <c r="L136" s="3"/>
      <c r="M136" s="4"/>
      <c r="N136" s="5"/>
      <c r="P136" s="142"/>
      <c r="Q136" s="12"/>
      <c r="R136" s="12"/>
      <c r="S136" s="374"/>
      <c r="T136" s="367"/>
    </row>
    <row r="137" spans="1:20" ht="15.75" customHeight="1" hidden="1">
      <c r="A137" s="12">
        <v>4</v>
      </c>
      <c r="B137" s="305" t="s">
        <v>84</v>
      </c>
      <c r="C137" s="306" t="s">
        <v>85</v>
      </c>
      <c r="D137" s="307" t="s">
        <v>80</v>
      </c>
      <c r="E137" s="306" t="s">
        <v>81</v>
      </c>
      <c r="F137" s="305" t="s">
        <v>333</v>
      </c>
      <c r="G137" s="306" t="s">
        <v>82</v>
      </c>
      <c r="H137" s="305" t="s">
        <v>83</v>
      </c>
      <c r="I137" s="12"/>
      <c r="K137" s="2"/>
      <c r="L137" s="3"/>
      <c r="M137" s="4"/>
      <c r="N137" s="5"/>
      <c r="P137" s="142"/>
      <c r="Q137" s="12"/>
      <c r="R137" s="12"/>
      <c r="S137" s="374"/>
      <c r="T137" s="367"/>
    </row>
    <row r="138" spans="1:20" ht="15.75" customHeight="1" hidden="1">
      <c r="A138" s="12">
        <v>5</v>
      </c>
      <c r="B138" s="305" t="s">
        <v>91</v>
      </c>
      <c r="C138" s="306" t="s">
        <v>92</v>
      </c>
      <c r="D138" s="307" t="s">
        <v>86</v>
      </c>
      <c r="E138" s="306" t="s">
        <v>87</v>
      </c>
      <c r="F138" s="305" t="s">
        <v>88</v>
      </c>
      <c r="G138" s="306" t="s">
        <v>89</v>
      </c>
      <c r="H138" s="305" t="s">
        <v>90</v>
      </c>
      <c r="I138" s="12"/>
      <c r="K138" s="2"/>
      <c r="L138" s="3"/>
      <c r="M138" s="4"/>
      <c r="N138" s="5"/>
      <c r="P138" s="142"/>
      <c r="Q138" s="12"/>
      <c r="R138" s="12"/>
      <c r="S138" s="374"/>
      <c r="T138" s="367"/>
    </row>
    <row r="139" spans="1:20" ht="15.75" customHeight="1" hidden="1">
      <c r="A139" s="12">
        <v>6</v>
      </c>
      <c r="B139" s="305" t="s">
        <v>98</v>
      </c>
      <c r="C139" s="306" t="s">
        <v>330</v>
      </c>
      <c r="D139" s="307" t="s">
        <v>93</v>
      </c>
      <c r="E139" s="306" t="s">
        <v>94</v>
      </c>
      <c r="F139" s="305" t="s">
        <v>95</v>
      </c>
      <c r="G139" s="306" t="s">
        <v>96</v>
      </c>
      <c r="H139" s="305" t="s">
        <v>97</v>
      </c>
      <c r="I139" s="12"/>
      <c r="K139" s="2"/>
      <c r="L139" s="3"/>
      <c r="M139" s="4"/>
      <c r="N139" s="5"/>
      <c r="P139" s="142"/>
      <c r="Q139" s="12"/>
      <c r="R139" s="12"/>
      <c r="S139" s="374"/>
      <c r="T139" s="367"/>
    </row>
    <row r="140" spans="1:20" ht="15.75" customHeight="1" hidden="1">
      <c r="A140" s="12">
        <v>7</v>
      </c>
      <c r="B140" s="305" t="s">
        <v>102</v>
      </c>
      <c r="C140" s="306" t="s">
        <v>103</v>
      </c>
      <c r="D140" s="307" t="s">
        <v>99</v>
      </c>
      <c r="E140" s="306" t="s">
        <v>100</v>
      </c>
      <c r="F140" s="305" t="s">
        <v>334</v>
      </c>
      <c r="G140" s="306" t="s">
        <v>107</v>
      </c>
      <c r="H140" s="305" t="s">
        <v>101</v>
      </c>
      <c r="I140" s="12"/>
      <c r="K140" s="2"/>
      <c r="L140" s="3"/>
      <c r="M140" s="4"/>
      <c r="N140" s="5"/>
      <c r="P140" s="142"/>
      <c r="Q140" s="12"/>
      <c r="R140" s="12"/>
      <c r="S140" s="374"/>
      <c r="T140" s="367"/>
    </row>
    <row r="141" spans="1:20" ht="15.75" customHeight="1" hidden="1">
      <c r="A141" s="12">
        <v>8</v>
      </c>
      <c r="B141" s="305" t="s">
        <v>109</v>
      </c>
      <c r="C141" s="306" t="s">
        <v>110</v>
      </c>
      <c r="D141" s="307" t="s">
        <v>104</v>
      </c>
      <c r="E141" s="306" t="s">
        <v>105</v>
      </c>
      <c r="F141" s="305" t="s">
        <v>106</v>
      </c>
      <c r="G141" s="307" t="s">
        <v>5</v>
      </c>
      <c r="H141" s="305" t="s">
        <v>108</v>
      </c>
      <c r="I141" s="12"/>
      <c r="K141" s="2"/>
      <c r="L141" s="3"/>
      <c r="M141" s="4"/>
      <c r="N141" s="5"/>
      <c r="P141" s="142"/>
      <c r="Q141" s="12"/>
      <c r="R141" s="12"/>
      <c r="S141" s="374"/>
      <c r="T141" s="367"/>
    </row>
    <row r="142" spans="1:20" ht="15.75" customHeight="1" hidden="1">
      <c r="A142" s="12">
        <v>9</v>
      </c>
      <c r="B142" s="305" t="s">
        <v>5</v>
      </c>
      <c r="C142" s="306" t="s">
        <v>113</v>
      </c>
      <c r="D142" s="307" t="s">
        <v>114</v>
      </c>
      <c r="E142" s="306" t="s">
        <v>111</v>
      </c>
      <c r="F142" s="305" t="s">
        <v>112</v>
      </c>
      <c r="G142" s="306" t="s">
        <v>5</v>
      </c>
      <c r="H142" s="307" t="s">
        <v>5</v>
      </c>
      <c r="I142" s="12"/>
      <c r="K142" s="2"/>
      <c r="L142" s="3"/>
      <c r="M142" s="4"/>
      <c r="N142" s="5"/>
      <c r="P142" s="142"/>
      <c r="Q142" s="12"/>
      <c r="R142" s="12"/>
      <c r="S142" s="374"/>
      <c r="T142" s="367"/>
    </row>
    <row r="143" spans="1:20" ht="15.75" customHeight="1" hidden="1">
      <c r="A143" s="12">
        <v>10</v>
      </c>
      <c r="B143" s="305" t="s">
        <v>5</v>
      </c>
      <c r="C143" s="306" t="s">
        <v>115</v>
      </c>
      <c r="D143" s="307" t="s">
        <v>5</v>
      </c>
      <c r="E143" s="306" t="s">
        <v>332</v>
      </c>
      <c r="F143" s="307" t="s">
        <v>5</v>
      </c>
      <c r="G143" s="306" t="s">
        <v>5</v>
      </c>
      <c r="H143" s="305" t="s">
        <v>5</v>
      </c>
      <c r="I143" s="12"/>
      <c r="K143" s="2"/>
      <c r="L143" s="3"/>
      <c r="M143" s="4"/>
      <c r="N143" s="5"/>
      <c r="P143" s="142"/>
      <c r="Q143" s="12"/>
      <c r="R143" s="12"/>
      <c r="S143" s="374"/>
      <c r="T143" s="367"/>
    </row>
    <row r="144" spans="1:20" ht="15.75" customHeight="1" hidden="1">
      <c r="A144" s="12">
        <v>11</v>
      </c>
      <c r="B144" s="305" t="s">
        <v>5</v>
      </c>
      <c r="C144" s="306" t="s">
        <v>116</v>
      </c>
      <c r="D144" s="307" t="s">
        <v>5</v>
      </c>
      <c r="E144" s="307" t="s">
        <v>5</v>
      </c>
      <c r="F144" s="305" t="s">
        <v>5</v>
      </c>
      <c r="G144" s="306" t="s">
        <v>5</v>
      </c>
      <c r="H144" s="305" t="s">
        <v>5</v>
      </c>
      <c r="I144" s="12"/>
      <c r="K144" s="2"/>
      <c r="L144" s="3"/>
      <c r="M144" s="4"/>
      <c r="N144" s="5"/>
      <c r="P144" s="142"/>
      <c r="Q144" s="12"/>
      <c r="R144" s="12"/>
      <c r="S144" s="374"/>
      <c r="T144" s="367"/>
    </row>
    <row r="145" spans="1:20" ht="15.75" customHeight="1" hidden="1">
      <c r="A145" s="12">
        <v>12</v>
      </c>
      <c r="B145" s="305" t="s">
        <v>5</v>
      </c>
      <c r="C145" s="306" t="s">
        <v>117</v>
      </c>
      <c r="D145" s="307" t="s">
        <v>5</v>
      </c>
      <c r="E145" s="306" t="s">
        <v>5</v>
      </c>
      <c r="F145" s="305" t="s">
        <v>5</v>
      </c>
      <c r="G145" s="306" t="s">
        <v>5</v>
      </c>
      <c r="H145" s="305" t="s">
        <v>5</v>
      </c>
      <c r="I145" s="12"/>
      <c r="K145" s="2"/>
      <c r="L145" s="3"/>
      <c r="M145" s="4"/>
      <c r="N145" s="5"/>
      <c r="P145" s="142"/>
      <c r="Q145" s="12"/>
      <c r="R145" s="12"/>
      <c r="S145" s="374"/>
      <c r="T145" s="367"/>
    </row>
    <row r="146" spans="1:20" ht="15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K146" s="2"/>
      <c r="L146" s="3"/>
      <c r="M146" s="4"/>
      <c r="N146" s="5"/>
      <c r="P146" s="142"/>
      <c r="Q146" s="12"/>
      <c r="R146" s="12"/>
      <c r="S146" s="374"/>
      <c r="T146" s="367"/>
    </row>
    <row r="147" spans="1:20" ht="12.75" customHeight="1" hidden="1">
      <c r="A147" s="143" t="s">
        <v>5</v>
      </c>
      <c r="B147" s="143" t="s">
        <v>5</v>
      </c>
      <c r="C147" s="143" t="s">
        <v>5</v>
      </c>
      <c r="D147" s="143" t="s">
        <v>5</v>
      </c>
      <c r="E147" s="143" t="s">
        <v>5</v>
      </c>
      <c r="F147" s="143" t="s">
        <v>5</v>
      </c>
      <c r="G147" s="143" t="s">
        <v>5</v>
      </c>
      <c r="H147" s="143" t="s">
        <v>5</v>
      </c>
      <c r="I147" s="143" t="s">
        <v>5</v>
      </c>
      <c r="K147" s="2"/>
      <c r="L147" s="3"/>
      <c r="M147" s="4"/>
      <c r="N147" s="5"/>
      <c r="P147" s="142"/>
      <c r="Q147" s="12"/>
      <c r="R147" s="12"/>
      <c r="S147" s="374"/>
      <c r="T147" s="367"/>
    </row>
    <row r="148" spans="1:20" ht="12.75" customHeight="1" hidden="1">
      <c r="A148" s="143" t="s">
        <v>5</v>
      </c>
      <c r="B148" s="143" t="s">
        <v>5</v>
      </c>
      <c r="C148" s="143" t="s">
        <v>5</v>
      </c>
      <c r="D148" s="143" t="s">
        <v>5</v>
      </c>
      <c r="E148" s="143" t="s">
        <v>5</v>
      </c>
      <c r="F148" s="143" t="s">
        <v>5</v>
      </c>
      <c r="G148" s="143" t="s">
        <v>5</v>
      </c>
      <c r="H148" s="143" t="s">
        <v>5</v>
      </c>
      <c r="I148" s="143" t="s">
        <v>5</v>
      </c>
      <c r="J148" s="20"/>
      <c r="K148" s="18"/>
      <c r="R148" s="12"/>
      <c r="S148" s="374"/>
      <c r="T148" s="367"/>
    </row>
    <row r="149" spans="1:20" ht="4.5" customHeight="1">
      <c r="A149" s="19"/>
      <c r="B149" s="12"/>
      <c r="C149" s="143"/>
      <c r="D149" s="143"/>
      <c r="E149" s="143"/>
      <c r="F149" s="12"/>
      <c r="G149" s="12"/>
      <c r="H149" s="12"/>
      <c r="I149" s="12"/>
      <c r="J149" s="20"/>
      <c r="K149" s="18"/>
      <c r="R149" s="12"/>
      <c r="S149" s="374"/>
      <c r="T149" s="367"/>
    </row>
    <row r="150" spans="1:256" ht="19.5" customHeight="1">
      <c r="A150" s="684" t="s">
        <v>118</v>
      </c>
      <c r="B150" s="685"/>
      <c r="C150" s="685"/>
      <c r="D150" s="685"/>
      <c r="E150" s="685"/>
      <c r="F150" s="685"/>
      <c r="G150" s="685"/>
      <c r="H150" s="685"/>
      <c r="I150" s="685"/>
      <c r="J150" s="686"/>
      <c r="K150" s="144"/>
      <c r="L150" s="145"/>
      <c r="M150" s="146"/>
      <c r="N150" s="147"/>
      <c r="O150" s="148"/>
      <c r="P150" s="148"/>
      <c r="Q150" s="148"/>
      <c r="R150" s="149"/>
      <c r="S150" s="374"/>
      <c r="T150" s="367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  <c r="HN150" s="148"/>
      <c r="HO150" s="148"/>
      <c r="HP150" s="148"/>
      <c r="HQ150" s="148"/>
      <c r="HR150" s="148"/>
      <c r="HS150" s="148"/>
      <c r="HT150" s="148"/>
      <c r="HU150" s="148"/>
      <c r="HV150" s="148"/>
      <c r="HW150" s="148"/>
      <c r="HX150" s="148"/>
      <c r="HY150" s="148"/>
      <c r="HZ150" s="148"/>
      <c r="IA150" s="148"/>
      <c r="IB150" s="148"/>
      <c r="IC150" s="148"/>
      <c r="ID150" s="148"/>
      <c r="IE150" s="148"/>
      <c r="IF150" s="148"/>
      <c r="IG150" s="148"/>
      <c r="IH150" s="148"/>
      <c r="II150" s="148"/>
      <c r="IJ150" s="148"/>
      <c r="IK150" s="148"/>
      <c r="IL150" s="148"/>
      <c r="IM150" s="148"/>
      <c r="IN150" s="148"/>
      <c r="IO150" s="148"/>
      <c r="IP150" s="148"/>
      <c r="IQ150" s="148"/>
      <c r="IR150" s="148"/>
      <c r="IS150" s="148"/>
      <c r="IT150" s="148"/>
      <c r="IU150" s="148"/>
      <c r="IV150" s="148"/>
    </row>
    <row r="151" spans="1:256" s="57" customFormat="1" ht="4.5" customHeight="1">
      <c r="A151" s="19"/>
      <c r="B151" s="12"/>
      <c r="C151" s="12"/>
      <c r="D151" s="12"/>
      <c r="E151" s="12"/>
      <c r="F151" s="12"/>
      <c r="G151" s="12"/>
      <c r="H151" s="12"/>
      <c r="I151" s="12"/>
      <c r="J151" s="20"/>
      <c r="K151" s="18"/>
      <c r="L151" s="145"/>
      <c r="M151" s="3"/>
      <c r="N151" s="4"/>
      <c r="O151" s="5"/>
      <c r="P151" s="5"/>
      <c r="Q151" s="5"/>
      <c r="R151" s="12"/>
      <c r="S151" s="374"/>
      <c r="T151" s="367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57" customFormat="1" ht="4.5" customHeight="1">
      <c r="A152" s="19"/>
      <c r="B152" s="12"/>
      <c r="C152" s="12"/>
      <c r="D152" s="12"/>
      <c r="E152" s="12"/>
      <c r="F152" s="12"/>
      <c r="G152" s="12"/>
      <c r="H152" s="12"/>
      <c r="I152" s="12"/>
      <c r="J152" s="20"/>
      <c r="K152" s="18"/>
      <c r="L152" s="145"/>
      <c r="M152" s="3"/>
      <c r="N152" s="4"/>
      <c r="O152" s="5"/>
      <c r="P152" s="5"/>
      <c r="Q152" s="5"/>
      <c r="R152" s="12"/>
      <c r="S152" s="374"/>
      <c r="T152" s="367"/>
      <c r="U152" s="5"/>
      <c r="V152" s="151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19.5" customHeight="1">
      <c r="A153" s="684" t="s">
        <v>164</v>
      </c>
      <c r="B153" s="685"/>
      <c r="C153" s="685"/>
      <c r="D153" s="685"/>
      <c r="E153" s="685"/>
      <c r="F153" s="685"/>
      <c r="G153" s="685"/>
      <c r="H153" s="685"/>
      <c r="I153" s="685"/>
      <c r="J153" s="686"/>
      <c r="K153" s="144"/>
      <c r="L153" s="145"/>
      <c r="M153" s="152"/>
      <c r="N153" s="152"/>
      <c r="O153" s="152"/>
      <c r="P153" s="153"/>
      <c r="Q153" s="153"/>
      <c r="R153" s="149"/>
      <c r="S153" s="374"/>
      <c r="T153" s="367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  <c r="GB153" s="148"/>
      <c r="GC153" s="148"/>
      <c r="GD153" s="148"/>
      <c r="GE153" s="148"/>
      <c r="GF153" s="148"/>
      <c r="GG153" s="148"/>
      <c r="GH153" s="148"/>
      <c r="GI153" s="148"/>
      <c r="GJ153" s="148"/>
      <c r="GK153" s="148"/>
      <c r="GL153" s="148"/>
      <c r="GM153" s="148"/>
      <c r="GN153" s="148"/>
      <c r="GO153" s="148"/>
      <c r="GP153" s="148"/>
      <c r="GQ153" s="148"/>
      <c r="GR153" s="148"/>
      <c r="GS153" s="148"/>
      <c r="GT153" s="148"/>
      <c r="GU153" s="148"/>
      <c r="GV153" s="148"/>
      <c r="GW153" s="148"/>
      <c r="GX153" s="148"/>
      <c r="GY153" s="148"/>
      <c r="GZ153" s="148"/>
      <c r="HA153" s="148"/>
      <c r="HB153" s="148"/>
      <c r="HC153" s="148"/>
      <c r="HD153" s="148"/>
      <c r="HE153" s="148"/>
      <c r="HF153" s="148"/>
      <c r="HG153" s="148"/>
      <c r="HH153" s="148"/>
      <c r="HI153" s="148"/>
      <c r="HJ153" s="148"/>
      <c r="HK153" s="148"/>
      <c r="HL153" s="148"/>
      <c r="HM153" s="148"/>
      <c r="HN153" s="148"/>
      <c r="HO153" s="148"/>
      <c r="HP153" s="148"/>
      <c r="HQ153" s="148"/>
      <c r="HR153" s="148"/>
      <c r="HS153" s="148"/>
      <c r="HT153" s="148"/>
      <c r="HU153" s="148"/>
      <c r="HV153" s="148"/>
      <c r="HW153" s="148"/>
      <c r="HX153" s="148"/>
      <c r="HY153" s="148"/>
      <c r="HZ153" s="148"/>
      <c r="IA153" s="148"/>
      <c r="IB153" s="148"/>
      <c r="IC153" s="148"/>
      <c r="ID153" s="148"/>
      <c r="IE153" s="148"/>
      <c r="IF153" s="148"/>
      <c r="IG153" s="148"/>
      <c r="IH153" s="148"/>
      <c r="II153" s="148"/>
      <c r="IJ153" s="148"/>
      <c r="IK153" s="148"/>
      <c r="IL153" s="148"/>
      <c r="IM153" s="148"/>
      <c r="IN153" s="148"/>
      <c r="IO153" s="148"/>
      <c r="IP153" s="148"/>
      <c r="IQ153" s="148"/>
      <c r="IR153" s="148"/>
      <c r="IS153" s="148"/>
      <c r="IT153" s="148"/>
      <c r="IU153" s="148"/>
      <c r="IV153" s="148"/>
    </row>
    <row r="154" spans="1:14" ht="12.75">
      <c r="A154" s="262"/>
      <c r="B154" s="262"/>
      <c r="C154" s="262"/>
      <c r="D154" s="262"/>
      <c r="E154" s="262"/>
      <c r="F154" s="262"/>
      <c r="G154" s="262"/>
      <c r="H154" s="262"/>
      <c r="I154" s="262"/>
      <c r="K154" s="5"/>
      <c r="L154" s="5"/>
      <c r="M154" s="5"/>
      <c r="N154" s="5"/>
    </row>
    <row r="155" spans="1:20" ht="23.25" customHeight="1">
      <c r="A155" s="766" t="s">
        <v>176</v>
      </c>
      <c r="B155" s="766"/>
      <c r="C155" s="766"/>
      <c r="D155" s="766"/>
      <c r="E155" s="766"/>
      <c r="F155" s="766"/>
      <c r="G155" s="766"/>
      <c r="H155" s="766"/>
      <c r="I155" s="766"/>
      <c r="J155" s="766"/>
      <c r="K155" s="18"/>
      <c r="L155" s="18"/>
      <c r="M155" s="18"/>
      <c r="N155" s="18"/>
      <c r="S155" s="374"/>
      <c r="T155" s="509"/>
    </row>
    <row r="156" spans="1:20" ht="16.5" customHeight="1">
      <c r="A156" s="766" t="s">
        <v>165</v>
      </c>
      <c r="B156" s="766"/>
      <c r="C156" s="766"/>
      <c r="D156" s="766"/>
      <c r="E156" s="766"/>
      <c r="F156" s="766"/>
      <c r="G156" s="766"/>
      <c r="H156" s="766"/>
      <c r="I156" s="766"/>
      <c r="J156" s="766"/>
      <c r="K156" s="18"/>
      <c r="L156" s="781" t="s">
        <v>473</v>
      </c>
      <c r="M156" s="781"/>
      <c r="S156" s="374"/>
      <c r="T156" s="509"/>
    </row>
    <row r="157" spans="1:256" ht="18.75" customHeight="1">
      <c r="A157" s="680" t="s">
        <v>491</v>
      </c>
      <c r="B157" s="680"/>
      <c r="C157" s="680"/>
      <c r="D157" s="680"/>
      <c r="E157" s="680"/>
      <c r="F157" s="680"/>
      <c r="G157" s="680"/>
      <c r="H157" s="680"/>
      <c r="I157" s="680"/>
      <c r="J157" s="680"/>
      <c r="K157" s="18"/>
      <c r="L157" s="150"/>
      <c r="M157" s="150"/>
      <c r="N157" s="154" t="s">
        <v>166</v>
      </c>
      <c r="O157" s="150"/>
      <c r="P157" s="150"/>
      <c r="Q157" s="150"/>
      <c r="R157" s="150"/>
      <c r="S157" s="374"/>
      <c r="T157" s="509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ht="12.75">
      <c r="A158" s="710" t="s">
        <v>624</v>
      </c>
      <c r="B158" s="710"/>
      <c r="C158" s="710"/>
      <c r="D158" s="710"/>
      <c r="E158" s="710"/>
      <c r="F158" s="710"/>
      <c r="G158" s="710"/>
      <c r="H158" s="710"/>
      <c r="I158" s="710"/>
      <c r="J158" s="710"/>
      <c r="K158" s="697" t="s">
        <v>167</v>
      </c>
      <c r="L158" s="155" t="s">
        <v>168</v>
      </c>
      <c r="M158" s="156" t="str">
        <f>IF(вывод1="да",_72ч,"")</f>
        <v>В течение одного года пройти обучение по программе повышения квалификации. 
</v>
      </c>
      <c r="N158" s="157" t="s">
        <v>450</v>
      </c>
      <c r="O158" s="150"/>
      <c r="P158" s="150"/>
      <c r="Q158" s="150"/>
      <c r="R158" s="150"/>
      <c r="S158" s="374"/>
      <c r="T158" s="509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5.75" customHeight="1">
      <c r="A159" s="710"/>
      <c r="B159" s="710"/>
      <c r="C159" s="710"/>
      <c r="D159" s="710"/>
      <c r="E159" s="710"/>
      <c r="F159" s="710"/>
      <c r="G159" s="710"/>
      <c r="H159" s="710"/>
      <c r="I159" s="710"/>
      <c r="J159" s="710"/>
      <c r="K159" s="697"/>
      <c r="L159" s="158" t="s">
        <v>169</v>
      </c>
      <c r="M159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N159" s="160" t="s">
        <v>170</v>
      </c>
      <c r="O159" s="150"/>
      <c r="P159" s="150"/>
      <c r="Q159" s="150"/>
      <c r="R159" s="150"/>
      <c r="S159" s="374"/>
      <c r="T159" s="509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s="12" customFormat="1" ht="3" customHeight="1">
      <c r="A160" s="412"/>
      <c r="B160" s="412"/>
      <c r="C160" s="412"/>
      <c r="D160" s="412"/>
      <c r="E160" s="412"/>
      <c r="F160" s="412"/>
      <c r="G160" s="412"/>
      <c r="H160" s="412"/>
      <c r="I160" s="412"/>
      <c r="J160" s="412"/>
      <c r="K160" s="161"/>
      <c r="L160" s="150"/>
      <c r="M160" s="162"/>
      <c r="N160" s="163"/>
      <c r="O160" s="150"/>
      <c r="P160" s="150"/>
      <c r="Q160" s="150"/>
      <c r="R160" s="150"/>
      <c r="S160" s="374"/>
      <c r="T160" s="509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 customHeight="1" hidden="1">
      <c r="A161" s="698" t="str">
        <f>O174</f>
        <v> 2) если у педагога нет профессионального образования по направлению "Педагогика и психология"</v>
      </c>
      <c r="B161" s="698"/>
      <c r="C161" s="698"/>
      <c r="D161" s="698"/>
      <c r="E161" s="698"/>
      <c r="F161" s="698"/>
      <c r="G161" s="698"/>
      <c r="H161" s="698"/>
      <c r="I161" s="698"/>
      <c r="J161" s="698"/>
      <c r="K161" s="164"/>
      <c r="L161" s="682"/>
      <c r="M161" s="682"/>
      <c r="N161" s="682"/>
      <c r="O161" s="150"/>
      <c r="P161" s="150"/>
      <c r="Q161" s="150"/>
      <c r="R161" s="150"/>
      <c r="S161" s="374"/>
      <c r="T161" s="509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15.75" customHeight="1" hidden="1">
      <c r="A162" s="698"/>
      <c r="B162" s="698"/>
      <c r="C162" s="698"/>
      <c r="D162" s="698"/>
      <c r="E162" s="698"/>
      <c r="F162" s="698"/>
      <c r="G162" s="698"/>
      <c r="H162" s="698"/>
      <c r="I162" s="698"/>
      <c r="J162" s="698"/>
      <c r="K162" s="164"/>
      <c r="L162" s="682"/>
      <c r="M162" s="682"/>
      <c r="N162" s="682"/>
      <c r="O162" s="150"/>
      <c r="P162" s="150"/>
      <c r="Q162" s="150"/>
      <c r="R162" s="150"/>
      <c r="S162" s="374"/>
      <c r="T162" s="509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56" ht="12.75">
      <c r="A163" s="698"/>
      <c r="B163" s="698"/>
      <c r="C163" s="698"/>
      <c r="D163" s="698"/>
      <c r="E163" s="698"/>
      <c r="F163" s="698"/>
      <c r="G163" s="698"/>
      <c r="H163" s="698"/>
      <c r="I163" s="698"/>
      <c r="J163" s="698"/>
      <c r="K163" s="164"/>
      <c r="L163" s="682"/>
      <c r="M163" s="682"/>
      <c r="N163" s="682"/>
      <c r="O163" s="150"/>
      <c r="P163" s="150"/>
      <c r="Q163" s="150"/>
      <c r="R163" s="150"/>
      <c r="S163" s="374"/>
      <c r="T163" s="509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0"/>
      <c r="CI163" s="150"/>
      <c r="CJ163" s="150"/>
      <c r="CK163" s="150"/>
      <c r="CL163" s="150"/>
      <c r="CM163" s="150"/>
      <c r="CN163" s="150"/>
      <c r="CO163" s="150"/>
      <c r="CP163" s="150"/>
      <c r="CQ163" s="150"/>
      <c r="CR163" s="150"/>
      <c r="CS163" s="150"/>
      <c r="CT163" s="150"/>
      <c r="CU163" s="150"/>
      <c r="CV163" s="150"/>
      <c r="CW163" s="150"/>
      <c r="CX163" s="150"/>
      <c r="CY163" s="150"/>
      <c r="CZ163" s="150"/>
      <c r="DA163" s="150"/>
      <c r="DB163" s="150"/>
      <c r="DC163" s="150"/>
      <c r="DD163" s="150"/>
      <c r="DE163" s="150"/>
      <c r="DF163" s="150"/>
      <c r="DG163" s="150"/>
      <c r="DH163" s="150"/>
      <c r="DI163" s="150"/>
      <c r="DJ163" s="150"/>
      <c r="DK163" s="150"/>
      <c r="DL163" s="150"/>
      <c r="DM163" s="150"/>
      <c r="DN163" s="150"/>
      <c r="DO163" s="150"/>
      <c r="DP163" s="150"/>
      <c r="DQ163" s="150"/>
      <c r="DR163" s="150"/>
      <c r="DS163" s="150"/>
      <c r="DT163" s="150"/>
      <c r="DU163" s="150"/>
      <c r="DV163" s="150"/>
      <c r="DW163" s="150"/>
      <c r="DX163" s="150"/>
      <c r="DY163" s="150"/>
      <c r="DZ163" s="150"/>
      <c r="EA163" s="150"/>
      <c r="EB163" s="150"/>
      <c r="EC163" s="150"/>
      <c r="ED163" s="150"/>
      <c r="EE163" s="150"/>
      <c r="EF163" s="150"/>
      <c r="EG163" s="150"/>
      <c r="EH163" s="150"/>
      <c r="EI163" s="150"/>
      <c r="EJ163" s="150"/>
      <c r="EK163" s="150"/>
      <c r="EL163" s="150"/>
      <c r="EM163" s="150"/>
      <c r="EN163" s="150"/>
      <c r="EO163" s="150"/>
      <c r="EP163" s="150"/>
      <c r="EQ163" s="150"/>
      <c r="ER163" s="150"/>
      <c r="ES163" s="150"/>
      <c r="ET163" s="150"/>
      <c r="EU163" s="150"/>
      <c r="EV163" s="150"/>
      <c r="EW163" s="150"/>
      <c r="EX163" s="150"/>
      <c r="EY163" s="150"/>
      <c r="EZ163" s="150"/>
      <c r="FA163" s="150"/>
      <c r="FB163" s="150"/>
      <c r="FC163" s="150"/>
      <c r="FD163" s="150"/>
      <c r="FE163" s="150"/>
      <c r="FF163" s="150"/>
      <c r="FG163" s="150"/>
      <c r="FH163" s="150"/>
      <c r="FI163" s="150"/>
      <c r="FJ163" s="150"/>
      <c r="FK163" s="150"/>
      <c r="FL163" s="150"/>
      <c r="FM163" s="150"/>
      <c r="FN163" s="150"/>
      <c r="FO163" s="150"/>
      <c r="FP163" s="150"/>
      <c r="FQ163" s="150"/>
      <c r="FR163" s="150"/>
      <c r="FS163" s="150"/>
      <c r="FT163" s="150"/>
      <c r="FU163" s="150"/>
      <c r="FV163" s="150"/>
      <c r="FW163" s="150"/>
      <c r="FX163" s="150"/>
      <c r="FY163" s="150"/>
      <c r="FZ163" s="150"/>
      <c r="GA163" s="150"/>
      <c r="GB163" s="150"/>
      <c r="GC163" s="150"/>
      <c r="GD163" s="150"/>
      <c r="GE163" s="150"/>
      <c r="GF163" s="150"/>
      <c r="GG163" s="150"/>
      <c r="GH163" s="150"/>
      <c r="GI163" s="150"/>
      <c r="GJ163" s="150"/>
      <c r="GK163" s="150"/>
      <c r="GL163" s="150"/>
      <c r="GM163" s="150"/>
      <c r="GN163" s="150"/>
      <c r="GO163" s="150"/>
      <c r="GP163" s="150"/>
      <c r="GQ163" s="150"/>
      <c r="GR163" s="150"/>
      <c r="GS163" s="150"/>
      <c r="GT163" s="150"/>
      <c r="GU163" s="150"/>
      <c r="GV163" s="150"/>
      <c r="GW163" s="150"/>
      <c r="GX163" s="150"/>
      <c r="GY163" s="150"/>
      <c r="GZ163" s="150"/>
      <c r="HA163" s="150"/>
      <c r="HB163" s="150"/>
      <c r="HC163" s="150"/>
      <c r="HD163" s="150"/>
      <c r="HE163" s="150"/>
      <c r="HF163" s="150"/>
      <c r="HG163" s="150"/>
      <c r="HH163" s="150"/>
      <c r="HI163" s="150"/>
      <c r="HJ163" s="150"/>
      <c r="HK163" s="150"/>
      <c r="HL163" s="150"/>
      <c r="HM163" s="150"/>
      <c r="HN163" s="150"/>
      <c r="HO163" s="150"/>
      <c r="HP163" s="150"/>
      <c r="HQ163" s="150"/>
      <c r="HR163" s="150"/>
      <c r="HS163" s="150"/>
      <c r="HT163" s="150"/>
      <c r="HU163" s="150"/>
      <c r="HV163" s="150"/>
      <c r="HW163" s="150"/>
      <c r="HX163" s="150"/>
      <c r="HY163" s="150"/>
      <c r="HZ163" s="150"/>
      <c r="IA163" s="150"/>
      <c r="IB163" s="150"/>
      <c r="IC163" s="150"/>
      <c r="ID163" s="150"/>
      <c r="IE163" s="150"/>
      <c r="IF163" s="150"/>
      <c r="IG163" s="150"/>
      <c r="IH163" s="150"/>
      <c r="II163" s="150"/>
      <c r="IJ163" s="150"/>
      <c r="IK163" s="150"/>
      <c r="IL163" s="150"/>
      <c r="IM163" s="150"/>
      <c r="IN163" s="150"/>
      <c r="IO163" s="150"/>
      <c r="IP163" s="150"/>
      <c r="IQ163" s="150"/>
      <c r="IR163" s="150"/>
      <c r="IS163" s="150"/>
      <c r="IT163" s="150"/>
      <c r="IU163" s="150"/>
      <c r="IV163" s="150"/>
    </row>
    <row r="164" spans="1:256" ht="3" customHeight="1">
      <c r="A164" s="698"/>
      <c r="B164" s="698"/>
      <c r="C164" s="698"/>
      <c r="D164" s="698"/>
      <c r="E164" s="698"/>
      <c r="F164" s="698"/>
      <c r="G164" s="698"/>
      <c r="H164" s="698"/>
      <c r="I164" s="698"/>
      <c r="J164" s="698"/>
      <c r="K164" s="164"/>
      <c r="L164" s="150"/>
      <c r="M164" s="150"/>
      <c r="N164" s="163"/>
      <c r="O164" s="150"/>
      <c r="P164" s="150"/>
      <c r="Q164" s="150"/>
      <c r="R164" s="150"/>
      <c r="S164" s="374"/>
      <c r="T164" s="509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50"/>
      <c r="BZ164" s="150"/>
      <c r="CA164" s="150"/>
      <c r="CB164" s="150"/>
      <c r="CC164" s="150"/>
      <c r="CD164" s="150"/>
      <c r="CE164" s="150"/>
      <c r="CF164" s="150"/>
      <c r="CG164" s="150"/>
      <c r="CH164" s="150"/>
      <c r="CI164" s="150"/>
      <c r="CJ164" s="150"/>
      <c r="CK164" s="150"/>
      <c r="CL164" s="150"/>
      <c r="CM164" s="150"/>
      <c r="CN164" s="150"/>
      <c r="CO164" s="150"/>
      <c r="CP164" s="150"/>
      <c r="CQ164" s="150"/>
      <c r="CR164" s="150"/>
      <c r="CS164" s="150"/>
      <c r="CT164" s="150"/>
      <c r="CU164" s="150"/>
      <c r="CV164" s="150"/>
      <c r="CW164" s="150"/>
      <c r="CX164" s="150"/>
      <c r="CY164" s="150"/>
      <c r="CZ164" s="150"/>
      <c r="DA164" s="150"/>
      <c r="DB164" s="150"/>
      <c r="DC164" s="150"/>
      <c r="DD164" s="150"/>
      <c r="DE164" s="150"/>
      <c r="DF164" s="150"/>
      <c r="DG164" s="150"/>
      <c r="DH164" s="150"/>
      <c r="DI164" s="150"/>
      <c r="DJ164" s="150"/>
      <c r="DK164" s="150"/>
      <c r="DL164" s="150"/>
      <c r="DM164" s="150"/>
      <c r="DN164" s="150"/>
      <c r="DO164" s="150"/>
      <c r="DP164" s="150"/>
      <c r="DQ164" s="150"/>
      <c r="DR164" s="150"/>
      <c r="DS164" s="150"/>
      <c r="DT164" s="150"/>
      <c r="DU164" s="150"/>
      <c r="DV164" s="150"/>
      <c r="DW164" s="150"/>
      <c r="DX164" s="150"/>
      <c r="DY164" s="150"/>
      <c r="DZ164" s="150"/>
      <c r="EA164" s="150"/>
      <c r="EB164" s="150"/>
      <c r="EC164" s="150"/>
      <c r="ED164" s="150"/>
      <c r="EE164" s="150"/>
      <c r="EF164" s="150"/>
      <c r="EG164" s="150"/>
      <c r="EH164" s="150"/>
      <c r="EI164" s="150"/>
      <c r="EJ164" s="150"/>
      <c r="EK164" s="150"/>
      <c r="EL164" s="150"/>
      <c r="EM164" s="150"/>
      <c r="EN164" s="150"/>
      <c r="EO164" s="150"/>
      <c r="EP164" s="150"/>
      <c r="EQ164" s="150"/>
      <c r="ER164" s="150"/>
      <c r="ES164" s="150"/>
      <c r="ET164" s="150"/>
      <c r="EU164" s="150"/>
      <c r="EV164" s="150"/>
      <c r="EW164" s="150"/>
      <c r="EX164" s="150"/>
      <c r="EY164" s="150"/>
      <c r="EZ164" s="150"/>
      <c r="FA164" s="150"/>
      <c r="FB164" s="150"/>
      <c r="FC164" s="150"/>
      <c r="FD164" s="150"/>
      <c r="FE164" s="150"/>
      <c r="FF164" s="150"/>
      <c r="FG164" s="150"/>
      <c r="FH164" s="150"/>
      <c r="FI164" s="150"/>
      <c r="FJ164" s="150"/>
      <c r="FK164" s="150"/>
      <c r="FL164" s="150"/>
      <c r="FM164" s="150"/>
      <c r="FN164" s="150"/>
      <c r="FO164" s="150"/>
      <c r="FP164" s="150"/>
      <c r="FQ164" s="150"/>
      <c r="FR164" s="150"/>
      <c r="FS164" s="150"/>
      <c r="FT164" s="150"/>
      <c r="FU164" s="150"/>
      <c r="FV164" s="150"/>
      <c r="FW164" s="150"/>
      <c r="FX164" s="150"/>
      <c r="FY164" s="150"/>
      <c r="FZ164" s="150"/>
      <c r="GA164" s="150"/>
      <c r="GB164" s="150"/>
      <c r="GC164" s="150"/>
      <c r="GD164" s="150"/>
      <c r="GE164" s="150"/>
      <c r="GF164" s="150"/>
      <c r="GG164" s="150"/>
      <c r="GH164" s="150"/>
      <c r="GI164" s="150"/>
      <c r="GJ164" s="150"/>
      <c r="GK164" s="150"/>
      <c r="GL164" s="150"/>
      <c r="GM164" s="150"/>
      <c r="GN164" s="150"/>
      <c r="GO164" s="150"/>
      <c r="GP164" s="150"/>
      <c r="GQ164" s="150"/>
      <c r="GR164" s="150"/>
      <c r="GS164" s="150"/>
      <c r="GT164" s="150"/>
      <c r="GU164" s="150"/>
      <c r="GV164" s="150"/>
      <c r="GW164" s="150"/>
      <c r="GX164" s="150"/>
      <c r="GY164" s="150"/>
      <c r="GZ164" s="150"/>
      <c r="HA164" s="150"/>
      <c r="HB164" s="150"/>
      <c r="HC164" s="150"/>
      <c r="HD164" s="150"/>
      <c r="HE164" s="150"/>
      <c r="HF164" s="150"/>
      <c r="HG164" s="150"/>
      <c r="HH164" s="150"/>
      <c r="HI164" s="150"/>
      <c r="HJ164" s="150"/>
      <c r="HK164" s="150"/>
      <c r="HL164" s="150"/>
      <c r="HM164" s="150"/>
      <c r="HN164" s="150"/>
      <c r="HO164" s="150"/>
      <c r="HP164" s="150"/>
      <c r="HQ164" s="150"/>
      <c r="HR164" s="150"/>
      <c r="HS164" s="150"/>
      <c r="HT164" s="150"/>
      <c r="HU164" s="150"/>
      <c r="HV164" s="150"/>
      <c r="HW164" s="150"/>
      <c r="HX164" s="150"/>
      <c r="HY164" s="150"/>
      <c r="HZ164" s="150"/>
      <c r="IA164" s="150"/>
      <c r="IB164" s="150"/>
      <c r="IC164" s="150"/>
      <c r="ID164" s="150"/>
      <c r="IE164" s="150"/>
      <c r="IF164" s="150"/>
      <c r="IG164" s="150"/>
      <c r="IH164" s="150"/>
      <c r="II164" s="150"/>
      <c r="IJ164" s="150"/>
      <c r="IK164" s="150"/>
      <c r="IL164" s="150"/>
      <c r="IM164" s="150"/>
      <c r="IN164" s="150"/>
      <c r="IO164" s="150"/>
      <c r="IP164" s="150"/>
      <c r="IQ164" s="150"/>
      <c r="IR164" s="150"/>
      <c r="IS164" s="150"/>
      <c r="IT164" s="150"/>
      <c r="IU164" s="150"/>
      <c r="IV164" s="150"/>
    </row>
    <row r="165" spans="1:20" ht="26.25" customHeight="1">
      <c r="A165" s="681" t="str">
        <f>N174</f>
        <v>Получить  дополнительное профессиональное образование по направлению подготовки  "Педагогика и психология". </v>
      </c>
      <c r="B165" s="681"/>
      <c r="C165" s="681"/>
      <c r="D165" s="681"/>
      <c r="E165" s="681"/>
      <c r="F165" s="681"/>
      <c r="G165" s="681"/>
      <c r="H165" s="681"/>
      <c r="I165" s="681"/>
      <c r="J165" s="681"/>
      <c r="K165" s="690" t="s">
        <v>172</v>
      </c>
      <c r="L165" s="165" t="s">
        <v>173</v>
      </c>
      <c r="M165" s="2" t="s">
        <v>170</v>
      </c>
      <c r="S165" s="374"/>
      <c r="T165" s="509"/>
    </row>
    <row r="166" spans="1:20" ht="6.75" customHeight="1" hidden="1">
      <c r="A166" s="680" t="str">
        <f>Q174</f>
        <v> ---</v>
      </c>
      <c r="B166" s="680" t="s">
        <v>174</v>
      </c>
      <c r="C166" s="680"/>
      <c r="D166" s="680"/>
      <c r="E166" s="680"/>
      <c r="F166" s="680"/>
      <c r="G166" s="680"/>
      <c r="H166" s="680"/>
      <c r="I166" s="680"/>
      <c r="J166" s="680"/>
      <c r="K166" s="690"/>
      <c r="L166" s="607"/>
      <c r="M166" s="10"/>
      <c r="N166" s="11"/>
      <c r="O166" s="12"/>
      <c r="P166" s="12"/>
      <c r="Q166" s="12"/>
      <c r="R166" s="12"/>
      <c r="S166" s="608"/>
      <c r="T166" s="509"/>
    </row>
    <row r="167" spans="1:256" ht="3" customHeight="1" hidden="1">
      <c r="A167" s="681">
        <f>IF(A166=" ---","",P174)</f>
      </c>
      <c r="B167" s="681"/>
      <c r="C167" s="681"/>
      <c r="D167" s="681"/>
      <c r="E167" s="681"/>
      <c r="F167" s="681"/>
      <c r="G167" s="681"/>
      <c r="H167" s="681"/>
      <c r="I167" s="681"/>
      <c r="J167" s="681"/>
      <c r="K167" s="102" t="s">
        <v>175</v>
      </c>
      <c r="L167" s="607"/>
      <c r="M167" s="10"/>
      <c r="N167" s="11"/>
      <c r="O167" s="12"/>
      <c r="P167" s="12"/>
      <c r="Q167" s="12"/>
      <c r="R167" s="12"/>
      <c r="S167" s="608"/>
      <c r="T167" s="509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  <c r="HE167" s="57"/>
      <c r="HF167" s="57"/>
      <c r="HG167" s="57"/>
      <c r="HH167" s="57"/>
      <c r="HI167" s="57"/>
      <c r="HJ167" s="57"/>
      <c r="HK167" s="57"/>
      <c r="HL167" s="57"/>
      <c r="HM167" s="57"/>
      <c r="HN167" s="57"/>
      <c r="HO167" s="57"/>
      <c r="HP167" s="57"/>
      <c r="HQ167" s="57"/>
      <c r="HR167" s="57"/>
      <c r="HS167" s="57"/>
      <c r="HT167" s="57"/>
      <c r="HU167" s="57"/>
      <c r="HV167" s="57"/>
      <c r="HW167" s="57"/>
      <c r="HX167" s="57"/>
      <c r="HY167" s="57"/>
      <c r="HZ167" s="57"/>
      <c r="IA167" s="57"/>
      <c r="IB167" s="57"/>
      <c r="IC167" s="57"/>
      <c r="ID167" s="57"/>
      <c r="IE167" s="57"/>
      <c r="IF167" s="57"/>
      <c r="IG167" s="57"/>
      <c r="IH167" s="57"/>
      <c r="II167" s="57"/>
      <c r="IJ167" s="57"/>
      <c r="IK167" s="57"/>
      <c r="IL167" s="57"/>
      <c r="IM167" s="57"/>
      <c r="IN167" s="57"/>
      <c r="IO167" s="57"/>
      <c r="IP167" s="57"/>
      <c r="IQ167" s="57"/>
      <c r="IR167" s="57"/>
      <c r="IS167" s="57"/>
      <c r="IT167" s="57"/>
      <c r="IU167" s="57"/>
      <c r="IV167" s="57"/>
    </row>
    <row r="168" spans="1:256" ht="1.5" customHeight="1" hidden="1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607"/>
      <c r="M168" s="10"/>
      <c r="N168" s="11"/>
      <c r="O168" s="12"/>
      <c r="P168" s="12"/>
      <c r="Q168" s="12"/>
      <c r="R168" s="12"/>
      <c r="S168" s="608"/>
      <c r="T168" s="509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  <c r="II168" s="57"/>
      <c r="IJ168" s="57"/>
      <c r="IK168" s="57"/>
      <c r="IL168" s="57"/>
      <c r="IM168" s="57"/>
      <c r="IN168" s="57"/>
      <c r="IO168" s="57"/>
      <c r="IP168" s="57"/>
      <c r="IQ168" s="57"/>
      <c r="IR168" s="57"/>
      <c r="IS168" s="57"/>
      <c r="IT168" s="57"/>
      <c r="IU168" s="57"/>
      <c r="IV168" s="57"/>
    </row>
    <row r="169" spans="1:20" ht="5.2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5"/>
      <c r="L169" s="607"/>
      <c r="M169" s="10"/>
      <c r="N169" s="11"/>
      <c r="O169" s="12"/>
      <c r="P169" s="12"/>
      <c r="Q169" s="12"/>
      <c r="R169" s="12"/>
      <c r="S169" s="608"/>
      <c r="T169" s="509"/>
    </row>
    <row r="170" spans="1:20" ht="16.5" customHeight="1">
      <c r="A170" s="766" t="s">
        <v>490</v>
      </c>
      <c r="B170" s="766"/>
      <c r="C170" s="766"/>
      <c r="D170" s="766"/>
      <c r="E170" s="766"/>
      <c r="F170" s="766"/>
      <c r="G170" s="766"/>
      <c r="H170" s="766"/>
      <c r="I170" s="766"/>
      <c r="J170" s="766"/>
      <c r="K170" s="606" t="s">
        <v>488</v>
      </c>
      <c r="L170" s="607"/>
      <c r="M170" s="10"/>
      <c r="N170" s="11"/>
      <c r="O170" s="12"/>
      <c r="P170" s="12"/>
      <c r="Q170" s="12"/>
      <c r="R170" s="12"/>
      <c r="S170" s="608"/>
      <c r="T170" s="509"/>
    </row>
    <row r="171" spans="1:256" ht="12.75">
      <c r="A171" s="683" t="s">
        <v>489</v>
      </c>
      <c r="B171" s="683"/>
      <c r="C171" s="683"/>
      <c r="D171" s="683"/>
      <c r="E171" s="683"/>
      <c r="F171" s="683"/>
      <c r="G171" s="683"/>
      <c r="H171" s="683"/>
      <c r="I171" s="683"/>
      <c r="J171" s="683"/>
      <c r="K171" s="429" t="str">
        <f>T2</f>
        <v># 7</v>
      </c>
      <c r="L171" s="12"/>
      <c r="M171" s="12"/>
      <c r="N171" s="12"/>
      <c r="O171" s="12"/>
      <c r="P171" s="12"/>
      <c r="Q171" s="12"/>
      <c r="R171" s="12"/>
      <c r="S171" s="374"/>
      <c r="T171" s="509"/>
      <c r="U171" s="374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</row>
    <row r="172" spans="1:20" ht="3.75" customHeight="1">
      <c r="A172" s="615"/>
      <c r="B172" s="221"/>
      <c r="C172" s="220"/>
      <c r="D172" s="220"/>
      <c r="E172" s="220"/>
      <c r="F172" s="220"/>
      <c r="G172" s="220"/>
      <c r="H172" s="220"/>
      <c r="I172" s="220"/>
      <c r="J172" s="220"/>
      <c r="K172" s="433">
        <v>1</v>
      </c>
      <c r="L172" s="430">
        <v>2</v>
      </c>
      <c r="M172" s="430">
        <v>3</v>
      </c>
      <c r="N172" s="430">
        <v>4</v>
      </c>
      <c r="O172" s="430">
        <v>5</v>
      </c>
      <c r="P172" s="430">
        <v>6</v>
      </c>
      <c r="Q172" s="430">
        <v>7</v>
      </c>
      <c r="R172" s="430">
        <v>8</v>
      </c>
      <c r="S172" s="430">
        <v>9</v>
      </c>
      <c r="T172" s="509"/>
    </row>
    <row r="173" spans="1:20" ht="24.75" thickBot="1">
      <c r="A173" s="617" t="s">
        <v>12</v>
      </c>
      <c r="B173" s="765" t="s">
        <v>177</v>
      </c>
      <c r="C173" s="765"/>
      <c r="D173" s="765"/>
      <c r="E173" s="765"/>
      <c r="F173" s="765"/>
      <c r="G173" s="765"/>
      <c r="H173" s="765"/>
      <c r="I173" s="765"/>
      <c r="J173" s="765"/>
      <c r="K173" s="612" t="s">
        <v>619</v>
      </c>
      <c r="L173" s="431" t="s">
        <v>474</v>
      </c>
      <c r="M173" s="431" t="s">
        <v>475</v>
      </c>
      <c r="N173" s="432" t="s">
        <v>443</v>
      </c>
      <c r="O173" s="442" t="s">
        <v>498</v>
      </c>
      <c r="P173" s="432" t="s">
        <v>444</v>
      </c>
      <c r="Q173" s="191"/>
      <c r="R173" s="191"/>
      <c r="S173" s="431" t="s">
        <v>177</v>
      </c>
      <c r="T173" s="509"/>
    </row>
    <row r="174" spans="1:20" ht="88.5" customHeight="1" thickBot="1" thickTop="1">
      <c r="A174" s="616" t="str">
        <f>R174</f>
        <v>Педагог-психолог</v>
      </c>
      <c r="B174" s="764" t="str">
        <f>S174</f>
        <v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v>
      </c>
      <c r="C174" s="764"/>
      <c r="D174" s="764"/>
      <c r="E174" s="764"/>
      <c r="F174" s="764"/>
      <c r="G174" s="764"/>
      <c r="H174" s="764"/>
      <c r="I174" s="764"/>
      <c r="J174" s="764"/>
      <c r="K174" s="584" t="str">
        <f>IF(долж_ОС="учитель","учитель",долж_ОС)</f>
        <v>педагог-психолог</v>
      </c>
      <c r="L174" s="586" t="str">
        <f>VLOOKUP($K$174,$K$177:$S$206,L172)</f>
        <v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v>
      </c>
      <c r="M174" s="586" t="str">
        <f aca="true" t="shared" si="1" ref="M174:S174">VLOOKUP($K$174,$K$177:$S$206,M172)</f>
        <v> ---</v>
      </c>
      <c r="N174" s="587" t="str">
        <f t="shared" si="1"/>
        <v>Получить  дополнительное профессиональное образование по направлению подготовки  "Педагогика и психология". </v>
      </c>
      <c r="O174" s="588" t="str">
        <f t="shared" si="1"/>
        <v> 2) если у педагога нет профессионального образования по направлению "Педагогика и психология"</v>
      </c>
      <c r="P174" s="589" t="str">
        <f t="shared" si="1"/>
        <v> ---</v>
      </c>
      <c r="Q174" s="588" t="str">
        <f t="shared" si="1"/>
        <v> ---</v>
      </c>
      <c r="R174" s="585" t="str">
        <f t="shared" si="1"/>
        <v>Педагог-психолог</v>
      </c>
      <c r="S174" s="585" t="str">
        <f t="shared" si="1"/>
        <v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v>
      </c>
      <c r="T174" s="509"/>
    </row>
    <row r="175" spans="1:20" ht="13.5" thickTop="1">
      <c r="A175" s="679" t="s">
        <v>562</v>
      </c>
      <c r="B175" s="679"/>
      <c r="C175" s="679"/>
      <c r="D175" s="679"/>
      <c r="E175" s="679"/>
      <c r="F175" s="679"/>
      <c r="G175" s="679"/>
      <c r="H175" s="679"/>
      <c r="I175" s="679"/>
      <c r="J175" s="679"/>
      <c r="K175" s="443"/>
      <c r="L175" s="420"/>
      <c r="M175" s="420"/>
      <c r="N175" s="421"/>
      <c r="O175" s="422"/>
      <c r="P175" s="422"/>
      <c r="Q175" s="424"/>
      <c r="R175" s="438"/>
      <c r="S175" s="423"/>
      <c r="T175" s="509"/>
    </row>
    <row r="176" spans="11:14" ht="12.75">
      <c r="K176" s="5"/>
      <c r="L176" s="5"/>
      <c r="M176" s="5"/>
      <c r="N176" s="5"/>
    </row>
    <row r="177" spans="1:20" ht="216.75" hidden="1">
      <c r="A177" s="425"/>
      <c r="B177" s="426"/>
      <c r="C177" s="426"/>
      <c r="D177" s="426"/>
      <c r="E177" s="426"/>
      <c r="F177" s="426"/>
      <c r="G177" s="426"/>
      <c r="H177" s="426"/>
      <c r="I177" s="426"/>
      <c r="J177" s="596"/>
      <c r="K177" s="444" t="s">
        <v>121</v>
      </c>
      <c r="L177" s="413" t="s">
        <v>42</v>
      </c>
      <c r="M177" s="413" t="s">
        <v>495</v>
      </c>
      <c r="N177" s="364" t="s">
        <v>171</v>
      </c>
      <c r="O177" s="414" t="s">
        <v>496</v>
      </c>
      <c r="P177" s="413" t="s">
        <v>495</v>
      </c>
      <c r="Q177" s="413" t="s">
        <v>495</v>
      </c>
      <c r="R177" s="441" t="s">
        <v>565</v>
      </c>
      <c r="S177" s="437" t="s">
        <v>497</v>
      </c>
      <c r="T177" s="374"/>
    </row>
    <row r="178" spans="1:20" ht="127.5" hidden="1">
      <c r="A178" s="425"/>
      <c r="B178" s="426"/>
      <c r="C178" s="426"/>
      <c r="D178" s="426"/>
      <c r="E178" s="426"/>
      <c r="F178" s="426"/>
      <c r="G178" s="426"/>
      <c r="H178" s="426"/>
      <c r="I178" s="426"/>
      <c r="J178" s="597" t="s">
        <v>548</v>
      </c>
      <c r="K178" s="600" t="s">
        <v>123</v>
      </c>
      <c r="L178" s="595" t="str">
        <f>L204</f>
        <v>Наличие/получение  высшего профессионального образования в области дефектологии</v>
      </c>
      <c r="M178" s="595" t="str">
        <f aca="true" t="shared" si="2" ref="M178:S178">M204</f>
        <v> ---</v>
      </c>
      <c r="N178" s="595" t="str">
        <f t="shared" si="2"/>
        <v>Получить  высшее профессиональное образование в области дефектологии</v>
      </c>
      <c r="O178" s="595" t="str">
        <f t="shared" si="2"/>
        <v> 2) если у педагога нет высшего образования в области дефектологии</v>
      </c>
      <c r="P178" s="595" t="str">
        <f t="shared" si="2"/>
        <v> ---</v>
      </c>
      <c r="Q178" s="595" t="str">
        <f t="shared" si="2"/>
        <v> ---</v>
      </c>
      <c r="R178" s="595" t="str">
        <f t="shared" si="2"/>
        <v>Учитель-дефектолог, учитель-логопед (логопед) *</v>
      </c>
      <c r="S178" s="595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8" s="374"/>
    </row>
    <row r="179" spans="1:20" ht="51" hidden="1">
      <c r="A179" s="425"/>
      <c r="B179" s="426"/>
      <c r="C179" s="426"/>
      <c r="D179" s="426"/>
      <c r="E179" s="426"/>
      <c r="F179" s="426"/>
      <c r="G179" s="426"/>
      <c r="H179" s="426"/>
      <c r="I179" s="426"/>
      <c r="J179" s="596"/>
      <c r="K179" s="444" t="s">
        <v>125</v>
      </c>
      <c r="L179" s="413" t="s">
        <v>556</v>
      </c>
      <c r="M179" s="413" t="s">
        <v>495</v>
      </c>
      <c r="N179" s="364" t="s">
        <v>553</v>
      </c>
      <c r="O179" s="414" t="s">
        <v>552</v>
      </c>
      <c r="P179" s="413" t="s">
        <v>495</v>
      </c>
      <c r="Q179" s="413" t="s">
        <v>495</v>
      </c>
      <c r="R179" s="441" t="s">
        <v>555</v>
      </c>
      <c r="S179" s="437" t="s">
        <v>554</v>
      </c>
      <c r="T179" s="374"/>
    </row>
    <row r="180" spans="1:20" ht="180" hidden="1">
      <c r="A180" s="425"/>
      <c r="B180" s="426"/>
      <c r="C180" s="426"/>
      <c r="D180" s="426"/>
      <c r="E180" s="426"/>
      <c r="F180" s="426"/>
      <c r="G180" s="426"/>
      <c r="H180" s="426"/>
      <c r="I180" s="426"/>
      <c r="J180" s="596"/>
      <c r="K180" s="444" t="s">
        <v>127</v>
      </c>
      <c r="L180" s="413" t="s">
        <v>540</v>
      </c>
      <c r="M180" s="413" t="s">
        <v>495</v>
      </c>
      <c r="N180" s="364" t="s">
        <v>541</v>
      </c>
      <c r="O180" s="414" t="s">
        <v>542</v>
      </c>
      <c r="P180" s="413" t="s">
        <v>495</v>
      </c>
      <c r="Q180" s="413" t="s">
        <v>495</v>
      </c>
      <c r="R180" s="441" t="s">
        <v>543</v>
      </c>
      <c r="S180" s="437" t="s">
        <v>544</v>
      </c>
      <c r="T180" s="374"/>
    </row>
    <row r="181" spans="1:20" ht="180" hidden="1">
      <c r="A181" s="425"/>
      <c r="B181" s="426"/>
      <c r="C181" s="426"/>
      <c r="D181" s="426"/>
      <c r="E181" s="426"/>
      <c r="F181" s="426"/>
      <c r="G181" s="426"/>
      <c r="H181" s="426"/>
      <c r="I181" s="426"/>
      <c r="J181" s="596"/>
      <c r="K181" s="444" t="s">
        <v>129</v>
      </c>
      <c r="L181" s="413" t="s">
        <v>561</v>
      </c>
      <c r="M181" s="413" t="s">
        <v>495</v>
      </c>
      <c r="N181" s="364" t="s">
        <v>558</v>
      </c>
      <c r="O181" s="414" t="s">
        <v>557</v>
      </c>
      <c r="P181" s="413" t="s">
        <v>495</v>
      </c>
      <c r="Q181" s="413" t="s">
        <v>495</v>
      </c>
      <c r="R181" s="441" t="s">
        <v>560</v>
      </c>
      <c r="S181" s="437" t="s">
        <v>559</v>
      </c>
      <c r="T181" s="374"/>
    </row>
    <row r="182" spans="1:20" ht="89.25" hidden="1">
      <c r="A182" s="425"/>
      <c r="B182" s="426"/>
      <c r="C182" s="426"/>
      <c r="D182" s="426"/>
      <c r="E182" s="426"/>
      <c r="F182" s="426"/>
      <c r="G182" s="426"/>
      <c r="H182" s="426"/>
      <c r="I182" s="426"/>
      <c r="J182" s="596"/>
      <c r="K182" s="444" t="s">
        <v>131</v>
      </c>
      <c r="L182" s="413" t="s">
        <v>597</v>
      </c>
      <c r="M182" s="413" t="s">
        <v>495</v>
      </c>
      <c r="N182" s="364" t="s">
        <v>599</v>
      </c>
      <c r="O182" s="414" t="s">
        <v>598</v>
      </c>
      <c r="P182" s="413" t="s">
        <v>495</v>
      </c>
      <c r="Q182" s="413" t="s">
        <v>495</v>
      </c>
      <c r="R182" s="441" t="s">
        <v>574</v>
      </c>
      <c r="S182" s="437" t="s">
        <v>600</v>
      </c>
      <c r="T182" s="374"/>
    </row>
    <row r="183" spans="1:20" ht="127.5" hidden="1">
      <c r="A183" s="425"/>
      <c r="B183" s="426"/>
      <c r="C183" s="426"/>
      <c r="D183" s="426"/>
      <c r="E183" s="426"/>
      <c r="F183" s="426"/>
      <c r="G183" s="426"/>
      <c r="H183" s="426"/>
      <c r="I183" s="426"/>
      <c r="J183" s="597" t="s">
        <v>548</v>
      </c>
      <c r="K183" s="599" t="s">
        <v>133</v>
      </c>
      <c r="L183" s="595" t="str">
        <f>L204</f>
        <v>Наличие/получение  высшего профессионального образования в области дефектологии</v>
      </c>
      <c r="M183" s="595" t="str">
        <f aca="true" t="shared" si="3" ref="M183:S183">M204</f>
        <v> ---</v>
      </c>
      <c r="N183" s="595" t="str">
        <f t="shared" si="3"/>
        <v>Получить  высшее профессиональное образование в области дефектологии</v>
      </c>
      <c r="O183" s="595" t="str">
        <f t="shared" si="3"/>
        <v> 2) если у педагога нет высшего образования в области дефектологии</v>
      </c>
      <c r="P183" s="595" t="str">
        <f t="shared" si="3"/>
        <v> ---</v>
      </c>
      <c r="Q183" s="595" t="str">
        <f t="shared" si="3"/>
        <v> ---</v>
      </c>
      <c r="R183" s="595" t="str">
        <f t="shared" si="3"/>
        <v>Учитель-дефектолог, учитель-логопед (логопед) *</v>
      </c>
      <c r="S183" s="595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3" s="374"/>
    </row>
    <row r="184" spans="1:20" ht="191.25" hidden="1">
      <c r="A184" s="427"/>
      <c r="B184" s="427"/>
      <c r="C184" s="427"/>
      <c r="D184" s="427"/>
      <c r="E184" s="427"/>
      <c r="F184" s="427"/>
      <c r="G184" s="427"/>
      <c r="H184" s="427"/>
      <c r="I184" s="426"/>
      <c r="J184" s="596"/>
      <c r="K184" s="444" t="s">
        <v>135</v>
      </c>
      <c r="L184" s="413" t="s">
        <v>476</v>
      </c>
      <c r="M184" s="413" t="s">
        <v>477</v>
      </c>
      <c r="N184" s="364" t="s">
        <v>171</v>
      </c>
      <c r="O184" s="414" t="s">
        <v>478</v>
      </c>
      <c r="P184" s="364" t="s">
        <v>479</v>
      </c>
      <c r="Q184" s="413" t="s">
        <v>495</v>
      </c>
      <c r="R184" s="441" t="s">
        <v>582</v>
      </c>
      <c r="S184" s="437" t="s">
        <v>481</v>
      </c>
      <c r="T184" s="374"/>
    </row>
    <row r="185" spans="1:20" ht="90" hidden="1">
      <c r="A185" s="425"/>
      <c r="B185" s="426"/>
      <c r="C185" s="426"/>
      <c r="D185" s="426"/>
      <c r="E185" s="426"/>
      <c r="F185" s="426"/>
      <c r="G185" s="426"/>
      <c r="H185" s="426"/>
      <c r="I185" s="426"/>
      <c r="J185" s="602" t="s">
        <v>589</v>
      </c>
      <c r="K185" s="444" t="s">
        <v>136</v>
      </c>
      <c r="L185" s="413" t="s">
        <v>587</v>
      </c>
      <c r="M185" s="413" t="s">
        <v>495</v>
      </c>
      <c r="N185" s="364" t="s">
        <v>586</v>
      </c>
      <c r="O185" s="414" t="s">
        <v>585</v>
      </c>
      <c r="P185" s="413" t="s">
        <v>495</v>
      </c>
      <c r="Q185" s="413" t="s">
        <v>495</v>
      </c>
      <c r="R185" s="441" t="s">
        <v>576</v>
      </c>
      <c r="S185" s="437" t="s">
        <v>577</v>
      </c>
      <c r="T185" s="374"/>
    </row>
    <row r="186" spans="1:20" ht="114.75" hidden="1">
      <c r="A186" s="425"/>
      <c r="B186" s="426"/>
      <c r="C186" s="426"/>
      <c r="D186" s="426"/>
      <c r="E186" s="426"/>
      <c r="F186" s="426"/>
      <c r="G186" s="426"/>
      <c r="H186" s="426"/>
      <c r="I186" s="426"/>
      <c r="J186" s="596"/>
      <c r="K186" s="444" t="s">
        <v>138</v>
      </c>
      <c r="L186" s="413" t="s">
        <v>42</v>
      </c>
      <c r="M186" s="413" t="s">
        <v>517</v>
      </c>
      <c r="N186" s="364" t="s">
        <v>625</v>
      </c>
      <c r="O186" s="414" t="s">
        <v>518</v>
      </c>
      <c r="P186" s="364" t="s">
        <v>519</v>
      </c>
      <c r="Q186" s="414" t="s">
        <v>520</v>
      </c>
      <c r="R186" s="441" t="s">
        <v>521</v>
      </c>
      <c r="S186" s="437" t="s">
        <v>522</v>
      </c>
      <c r="T186" s="374"/>
    </row>
    <row r="187" spans="1:20" ht="236.25" hidden="1">
      <c r="A187" s="425"/>
      <c r="B187" s="426"/>
      <c r="C187" s="426"/>
      <c r="D187" s="426"/>
      <c r="E187" s="426"/>
      <c r="F187" s="426"/>
      <c r="G187" s="426"/>
      <c r="H187" s="426"/>
      <c r="I187" s="426"/>
      <c r="J187" s="596"/>
      <c r="K187" s="444" t="s">
        <v>141</v>
      </c>
      <c r="L187" s="413" t="s">
        <v>593</v>
      </c>
      <c r="M187" s="413" t="s">
        <v>594</v>
      </c>
      <c r="N187" s="364" t="s">
        <v>596</v>
      </c>
      <c r="O187" s="414" t="s">
        <v>595</v>
      </c>
      <c r="P187" s="413" t="s">
        <v>495</v>
      </c>
      <c r="Q187" s="413" t="s">
        <v>495</v>
      </c>
      <c r="R187" s="441" t="s">
        <v>572</v>
      </c>
      <c r="S187" s="437" t="s">
        <v>573</v>
      </c>
      <c r="T187" s="374"/>
    </row>
    <row r="188" spans="1:20" ht="127.5" hidden="1">
      <c r="A188" s="425"/>
      <c r="B188" s="426"/>
      <c r="C188" s="426"/>
      <c r="D188" s="426"/>
      <c r="E188" s="426"/>
      <c r="F188" s="426"/>
      <c r="G188" s="426"/>
      <c r="H188" s="426"/>
      <c r="I188" s="426"/>
      <c r="J188" s="596"/>
      <c r="K188" s="444" t="s">
        <v>324</v>
      </c>
      <c r="L188" s="413" t="s">
        <v>609</v>
      </c>
      <c r="M188" s="413" t="s">
        <v>495</v>
      </c>
      <c r="N188" s="364" t="s">
        <v>610</v>
      </c>
      <c r="O188" s="414" t="s">
        <v>608</v>
      </c>
      <c r="P188" s="413" t="s">
        <v>495</v>
      </c>
      <c r="Q188" s="413" t="s">
        <v>495</v>
      </c>
      <c r="R188" s="441" t="s">
        <v>569</v>
      </c>
      <c r="S188" s="437" t="s">
        <v>570</v>
      </c>
      <c r="T188" s="374"/>
    </row>
    <row r="189" spans="1:256" ht="180" hidden="1">
      <c r="A189" s="425"/>
      <c r="B189" s="426"/>
      <c r="C189" s="426"/>
      <c r="D189" s="426"/>
      <c r="E189" s="426"/>
      <c r="F189" s="426"/>
      <c r="G189" s="426"/>
      <c r="H189" s="426"/>
      <c r="I189" s="426"/>
      <c r="J189" s="596"/>
      <c r="K189" s="444" t="s">
        <v>143</v>
      </c>
      <c r="L189" s="413" t="s">
        <v>42</v>
      </c>
      <c r="M189" s="413" t="s">
        <v>534</v>
      </c>
      <c r="N189" s="364" t="s">
        <v>171</v>
      </c>
      <c r="O189" s="414" t="s">
        <v>530</v>
      </c>
      <c r="P189" s="413" t="s">
        <v>495</v>
      </c>
      <c r="Q189" s="413" t="s">
        <v>495</v>
      </c>
      <c r="R189" s="441" t="s">
        <v>532</v>
      </c>
      <c r="S189" s="437" t="s">
        <v>533</v>
      </c>
      <c r="T189" s="374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  <c r="GR189" s="148"/>
      <c r="GS189" s="148"/>
      <c r="GT189" s="148"/>
      <c r="GU189" s="148"/>
      <c r="GV189" s="148"/>
      <c r="GW189" s="148"/>
      <c r="GX189" s="148"/>
      <c r="GY189" s="148"/>
      <c r="GZ189" s="148"/>
      <c r="HA189" s="148"/>
      <c r="HB189" s="148"/>
      <c r="HC189" s="148"/>
      <c r="HD189" s="148"/>
      <c r="HE189" s="148"/>
      <c r="HF189" s="148"/>
      <c r="HG189" s="148"/>
      <c r="HH189" s="148"/>
      <c r="HI189" s="148"/>
      <c r="HJ189" s="148"/>
      <c r="HK189" s="148"/>
      <c r="HL189" s="148"/>
      <c r="HM189" s="148"/>
      <c r="HN189" s="148"/>
      <c r="HO189" s="148"/>
      <c r="HP189" s="148"/>
      <c r="HQ189" s="148"/>
      <c r="HR189" s="148"/>
      <c r="HS189" s="148"/>
      <c r="HT189" s="148"/>
      <c r="HU189" s="148"/>
      <c r="HV189" s="148"/>
      <c r="HW189" s="148"/>
      <c r="HX189" s="148"/>
      <c r="HY189" s="148"/>
      <c r="HZ189" s="148"/>
      <c r="IA189" s="148"/>
      <c r="IB189" s="148"/>
      <c r="IC189" s="148"/>
      <c r="ID189" s="148"/>
      <c r="IE189" s="148"/>
      <c r="IF189" s="148"/>
      <c r="IG189" s="148"/>
      <c r="IH189" s="148"/>
      <c r="II189" s="148"/>
      <c r="IJ189" s="148"/>
      <c r="IK189" s="148"/>
      <c r="IL189" s="148"/>
      <c r="IM189" s="148"/>
      <c r="IN189" s="148"/>
      <c r="IO189" s="148"/>
      <c r="IP189" s="148"/>
      <c r="IQ189" s="148"/>
      <c r="IR189" s="148"/>
      <c r="IS189" s="148"/>
      <c r="IT189" s="148"/>
      <c r="IU189" s="148"/>
      <c r="IV189" s="148"/>
    </row>
    <row r="190" spans="1:20" ht="165.75" hidden="1">
      <c r="A190" s="425"/>
      <c r="B190" s="426"/>
      <c r="C190" s="426"/>
      <c r="D190" s="426"/>
      <c r="E190" s="426"/>
      <c r="F190" s="426"/>
      <c r="G190" s="426"/>
      <c r="H190" s="428"/>
      <c r="I190" s="428"/>
      <c r="J190" s="596"/>
      <c r="K190" s="444" t="s">
        <v>145</v>
      </c>
      <c r="L190" s="413" t="s">
        <v>539</v>
      </c>
      <c r="M190" s="413" t="s">
        <v>495</v>
      </c>
      <c r="N190" s="364" t="s">
        <v>536</v>
      </c>
      <c r="O190" s="414" t="s">
        <v>535</v>
      </c>
      <c r="P190" s="413" t="s">
        <v>495</v>
      </c>
      <c r="Q190" s="413" t="s">
        <v>495</v>
      </c>
      <c r="R190" s="441" t="s">
        <v>537</v>
      </c>
      <c r="S190" s="437" t="s">
        <v>538</v>
      </c>
      <c r="T190" s="374"/>
    </row>
    <row r="191" spans="1:20" ht="191.25" hidden="1">
      <c r="A191" s="425"/>
      <c r="B191" s="426"/>
      <c r="C191" s="426"/>
      <c r="D191" s="426"/>
      <c r="E191" s="426"/>
      <c r="F191" s="426"/>
      <c r="G191" s="426"/>
      <c r="H191" s="428"/>
      <c r="I191" s="428"/>
      <c r="J191" s="597" t="s">
        <v>549</v>
      </c>
      <c r="K191" s="444" t="s">
        <v>147</v>
      </c>
      <c r="L191" s="413" t="s">
        <v>42</v>
      </c>
      <c r="M191" s="413" t="s">
        <v>44</v>
      </c>
      <c r="N191" s="364" t="s">
        <v>171</v>
      </c>
      <c r="O191" s="414" t="s">
        <v>531</v>
      </c>
      <c r="P191" s="413" t="s">
        <v>495</v>
      </c>
      <c r="Q191" s="413" t="s">
        <v>495</v>
      </c>
      <c r="R191" s="441" t="s">
        <v>583</v>
      </c>
      <c r="S191" s="437" t="s">
        <v>480</v>
      </c>
      <c r="T191" s="374"/>
    </row>
    <row r="192" spans="1:20" ht="236.25" hidden="1">
      <c r="A192" s="425"/>
      <c r="B192" s="426"/>
      <c r="C192" s="426"/>
      <c r="D192" s="426"/>
      <c r="E192" s="426"/>
      <c r="F192" s="426"/>
      <c r="G192" s="426"/>
      <c r="H192" s="428"/>
      <c r="I192" s="428"/>
      <c r="J192" s="596"/>
      <c r="K192" s="444" t="s">
        <v>487</v>
      </c>
      <c r="L192" s="413" t="s">
        <v>636</v>
      </c>
      <c r="M192" s="413" t="s">
        <v>637</v>
      </c>
      <c r="N192" s="364" t="s">
        <v>635</v>
      </c>
      <c r="O192" s="414" t="s">
        <v>634</v>
      </c>
      <c r="P192" s="413" t="s">
        <v>495</v>
      </c>
      <c r="Q192" s="413" t="s">
        <v>495</v>
      </c>
      <c r="R192" s="441" t="s">
        <v>578</v>
      </c>
      <c r="S192" s="437" t="s">
        <v>579</v>
      </c>
      <c r="T192" s="374"/>
    </row>
    <row r="193" spans="1:20" ht="236.25" hidden="1">
      <c r="A193" s="425"/>
      <c r="B193" s="426"/>
      <c r="C193" s="426"/>
      <c r="D193" s="426"/>
      <c r="E193" s="426"/>
      <c r="F193" s="426"/>
      <c r="G193" s="426"/>
      <c r="H193" s="428"/>
      <c r="I193" s="428"/>
      <c r="J193" s="596"/>
      <c r="K193" s="444" t="s">
        <v>322</v>
      </c>
      <c r="L193" s="413" t="s">
        <v>601</v>
      </c>
      <c r="M193" s="413" t="s">
        <v>495</v>
      </c>
      <c r="N193" s="364" t="s">
        <v>541</v>
      </c>
      <c r="O193" s="414" t="s">
        <v>606</v>
      </c>
      <c r="P193" s="413" t="s">
        <v>495</v>
      </c>
      <c r="Q193" s="413" t="s">
        <v>495</v>
      </c>
      <c r="R193" s="441" t="s">
        <v>575</v>
      </c>
      <c r="S193" s="437" t="s">
        <v>602</v>
      </c>
      <c r="T193" s="374"/>
    </row>
    <row r="194" spans="1:20" ht="127.5" hidden="1">
      <c r="A194" s="425"/>
      <c r="B194" s="426"/>
      <c r="C194" s="426"/>
      <c r="D194" s="426"/>
      <c r="E194" s="426"/>
      <c r="F194" s="426"/>
      <c r="G194" s="426"/>
      <c r="H194" s="428"/>
      <c r="I194" s="428"/>
      <c r="J194" s="596"/>
      <c r="K194" s="444" t="s">
        <v>150</v>
      </c>
      <c r="L194" s="413" t="s">
        <v>603</v>
      </c>
      <c r="M194" s="603" t="s">
        <v>607</v>
      </c>
      <c r="N194" s="364" t="s">
        <v>605</v>
      </c>
      <c r="O194" s="414" t="s">
        <v>604</v>
      </c>
      <c r="P194" s="364"/>
      <c r="Q194" s="414"/>
      <c r="R194" s="441" t="s">
        <v>566</v>
      </c>
      <c r="S194" s="437" t="s">
        <v>563</v>
      </c>
      <c r="T194" s="374"/>
    </row>
    <row r="195" spans="1:20" ht="102" hidden="1">
      <c r="A195" s="425"/>
      <c r="B195" s="426"/>
      <c r="C195" s="426"/>
      <c r="D195" s="426"/>
      <c r="E195" s="426"/>
      <c r="F195" s="426"/>
      <c r="G195" s="426"/>
      <c r="H195" s="428"/>
      <c r="I195" s="428"/>
      <c r="J195" s="596"/>
      <c r="K195" s="630" t="s">
        <v>152</v>
      </c>
      <c r="L195" s="413" t="s">
        <v>638</v>
      </c>
      <c r="M195" s="413" t="s">
        <v>495</v>
      </c>
      <c r="N195" s="364" t="s">
        <v>171</v>
      </c>
      <c r="O195" s="414" t="s">
        <v>639</v>
      </c>
      <c r="P195" s="413" t="s">
        <v>495</v>
      </c>
      <c r="Q195" s="413" t="s">
        <v>495</v>
      </c>
      <c r="R195" s="441" t="s">
        <v>571</v>
      </c>
      <c r="S195" s="437" t="s">
        <v>554</v>
      </c>
      <c r="T195" s="374"/>
    </row>
    <row r="196" spans="1:20" ht="216.75" hidden="1">
      <c r="A196" s="425"/>
      <c r="B196" s="426"/>
      <c r="C196" s="426"/>
      <c r="D196" s="426"/>
      <c r="E196" s="426"/>
      <c r="F196" s="426"/>
      <c r="G196" s="426"/>
      <c r="H196" s="428"/>
      <c r="I196" s="428"/>
      <c r="J196" s="602" t="s">
        <v>588</v>
      </c>
      <c r="K196" s="601" t="s">
        <v>154</v>
      </c>
      <c r="L196" s="413" t="s">
        <v>587</v>
      </c>
      <c r="M196" s="413" t="s">
        <v>495</v>
      </c>
      <c r="N196" s="364" t="s">
        <v>586</v>
      </c>
      <c r="O196" s="414" t="s">
        <v>585</v>
      </c>
      <c r="P196" s="413" t="s">
        <v>495</v>
      </c>
      <c r="Q196" s="413" t="s">
        <v>495</v>
      </c>
      <c r="R196" s="441" t="s">
        <v>565</v>
      </c>
      <c r="S196" s="437" t="s">
        <v>497</v>
      </c>
      <c r="T196" s="374"/>
    </row>
    <row r="197" spans="1:20" ht="45" hidden="1">
      <c r="A197" s="425"/>
      <c r="B197" s="426"/>
      <c r="C197" s="426"/>
      <c r="D197" s="426"/>
      <c r="E197" s="426"/>
      <c r="F197" s="426"/>
      <c r="G197" s="426"/>
      <c r="H197" s="428"/>
      <c r="I197" s="428"/>
      <c r="J197" s="596"/>
      <c r="K197" s="601" t="s">
        <v>326</v>
      </c>
      <c r="L197" s="413" t="s">
        <v>615</v>
      </c>
      <c r="M197" s="413"/>
      <c r="N197" s="364"/>
      <c r="O197" s="414"/>
      <c r="P197" s="364"/>
      <c r="Q197" s="414"/>
      <c r="R197" s="441"/>
      <c r="S197" s="437"/>
      <c r="T197" s="374"/>
    </row>
    <row r="198" spans="1:20" ht="22.5" hidden="1">
      <c r="A198" s="425"/>
      <c r="B198" s="426"/>
      <c r="C198" s="426"/>
      <c r="D198" s="426"/>
      <c r="E198" s="426"/>
      <c r="F198" s="426"/>
      <c r="G198" s="426"/>
      <c r="H198" s="428"/>
      <c r="I198" s="428"/>
      <c r="J198" s="596"/>
      <c r="K198" s="601" t="s">
        <v>317</v>
      </c>
      <c r="L198" s="413" t="s">
        <v>616</v>
      </c>
      <c r="M198" s="413"/>
      <c r="N198" s="364"/>
      <c r="O198" s="414"/>
      <c r="P198" s="364"/>
      <c r="Q198" s="414"/>
      <c r="R198" s="441"/>
      <c r="S198" s="437"/>
      <c r="T198" s="374"/>
    </row>
    <row r="199" spans="1:20" ht="67.5" hidden="1">
      <c r="A199" s="425"/>
      <c r="B199" s="426"/>
      <c r="C199" s="426"/>
      <c r="D199" s="426"/>
      <c r="E199" s="426"/>
      <c r="F199" s="426"/>
      <c r="G199" s="426"/>
      <c r="H199" s="428"/>
      <c r="I199" s="428"/>
      <c r="J199" s="596"/>
      <c r="K199" s="601" t="s">
        <v>319</v>
      </c>
      <c r="L199" s="413" t="s">
        <v>617</v>
      </c>
      <c r="M199" s="413"/>
      <c r="N199" s="364"/>
      <c r="O199" s="414"/>
      <c r="P199" s="364"/>
      <c r="Q199" s="414"/>
      <c r="R199" s="441"/>
      <c r="S199" s="437"/>
      <c r="T199" s="374"/>
    </row>
    <row r="200" spans="1:20" ht="45" hidden="1">
      <c r="A200" s="425"/>
      <c r="B200" s="426"/>
      <c r="C200" s="426"/>
      <c r="D200" s="426"/>
      <c r="E200" s="426"/>
      <c r="F200" s="426"/>
      <c r="G200" s="426"/>
      <c r="H200" s="428"/>
      <c r="I200" s="428"/>
      <c r="J200" s="596"/>
      <c r="K200" s="601" t="s">
        <v>316</v>
      </c>
      <c r="L200" s="413" t="s">
        <v>618</v>
      </c>
      <c r="M200" s="413"/>
      <c r="N200" s="364"/>
      <c r="O200" s="414"/>
      <c r="P200" s="364"/>
      <c r="Q200" s="414"/>
      <c r="R200" s="441"/>
      <c r="S200" s="437"/>
      <c r="T200" s="374"/>
    </row>
    <row r="201" spans="1:20" ht="180" hidden="1">
      <c r="A201" s="425"/>
      <c r="B201" s="426"/>
      <c r="C201" s="426"/>
      <c r="D201" s="426"/>
      <c r="E201" s="426"/>
      <c r="F201" s="426"/>
      <c r="G201" s="426"/>
      <c r="H201" s="428"/>
      <c r="I201" s="428"/>
      <c r="J201" s="596"/>
      <c r="K201" s="444" t="s">
        <v>158</v>
      </c>
      <c r="L201" s="413" t="s">
        <v>612</v>
      </c>
      <c r="M201" s="413" t="s">
        <v>495</v>
      </c>
      <c r="N201" s="364" t="s">
        <v>614</v>
      </c>
      <c r="O201" s="414" t="s">
        <v>613</v>
      </c>
      <c r="P201" s="413" t="s">
        <v>495</v>
      </c>
      <c r="Q201" s="413" t="s">
        <v>495</v>
      </c>
      <c r="R201" s="441" t="s">
        <v>580</v>
      </c>
      <c r="S201" s="437" t="s">
        <v>581</v>
      </c>
      <c r="T201" s="374"/>
    </row>
    <row r="202" spans="1:20" ht="89.25" hidden="1">
      <c r="A202" s="425"/>
      <c r="B202" s="426"/>
      <c r="C202" s="426"/>
      <c r="D202" s="426"/>
      <c r="E202" s="426"/>
      <c r="F202" s="426"/>
      <c r="G202" s="426"/>
      <c r="H202" s="428"/>
      <c r="I202" s="428"/>
      <c r="J202" s="596"/>
      <c r="K202" s="444" t="s">
        <v>328</v>
      </c>
      <c r="L202" s="413" t="s">
        <v>590</v>
      </c>
      <c r="M202" s="413" t="s">
        <v>495</v>
      </c>
      <c r="N202" s="364" t="s">
        <v>592</v>
      </c>
      <c r="O202" s="414" t="s">
        <v>591</v>
      </c>
      <c r="P202" s="413" t="s">
        <v>495</v>
      </c>
      <c r="Q202" s="413" t="s">
        <v>495</v>
      </c>
      <c r="R202" s="441" t="s">
        <v>568</v>
      </c>
      <c r="S202" s="437" t="s">
        <v>567</v>
      </c>
      <c r="T202" s="374"/>
    </row>
    <row r="203" spans="1:20" ht="191.25" hidden="1">
      <c r="A203" s="425"/>
      <c r="B203" s="426"/>
      <c r="C203" s="426"/>
      <c r="D203" s="426"/>
      <c r="E203" s="426"/>
      <c r="F203" s="426"/>
      <c r="G203" s="426"/>
      <c r="H203" s="428"/>
      <c r="I203" s="428"/>
      <c r="J203" s="597" t="s">
        <v>584</v>
      </c>
      <c r="K203" s="444" t="s">
        <v>13</v>
      </c>
      <c r="L203" s="413" t="s">
        <v>42</v>
      </c>
      <c r="M203" s="413" t="s">
        <v>44</v>
      </c>
      <c r="N203" s="364" t="s">
        <v>171</v>
      </c>
      <c r="O203" s="414" t="s">
        <v>531</v>
      </c>
      <c r="P203" s="413" t="s">
        <v>495</v>
      </c>
      <c r="Q203" s="413" t="s">
        <v>495</v>
      </c>
      <c r="R203" s="441" t="s">
        <v>583</v>
      </c>
      <c r="S203" s="437" t="s">
        <v>480</v>
      </c>
      <c r="T203" s="374"/>
    </row>
    <row r="204" spans="1:20" ht="127.5" hidden="1">
      <c r="A204" s="425"/>
      <c r="B204" s="426"/>
      <c r="C204" s="426"/>
      <c r="D204" s="426"/>
      <c r="E204" s="426"/>
      <c r="F204" s="426"/>
      <c r="G204" s="426"/>
      <c r="H204" s="428"/>
      <c r="I204" s="428"/>
      <c r="J204" s="596"/>
      <c r="K204" s="594" t="s">
        <v>160</v>
      </c>
      <c r="L204" s="413" t="s">
        <v>529</v>
      </c>
      <c r="M204" s="413" t="s">
        <v>495</v>
      </c>
      <c r="N204" s="364" t="s">
        <v>528</v>
      </c>
      <c r="O204" s="414" t="s">
        <v>527</v>
      </c>
      <c r="P204" s="413" t="s">
        <v>495</v>
      </c>
      <c r="Q204" s="413" t="s">
        <v>495</v>
      </c>
      <c r="R204" s="441" t="s">
        <v>564</v>
      </c>
      <c r="S204" s="437" t="s">
        <v>526</v>
      </c>
      <c r="T204" s="374"/>
    </row>
    <row r="205" spans="1:20" ht="127.5" hidden="1">
      <c r="A205" s="425"/>
      <c r="B205" s="426"/>
      <c r="C205" s="426"/>
      <c r="D205" s="426"/>
      <c r="E205" s="426"/>
      <c r="F205" s="426"/>
      <c r="G205" s="426"/>
      <c r="H205" s="428"/>
      <c r="I205" s="428"/>
      <c r="J205" s="597" t="s">
        <v>548</v>
      </c>
      <c r="K205" s="594" t="s">
        <v>162</v>
      </c>
      <c r="L205" s="595" t="str">
        <f>L204</f>
        <v>Наличие/получение  высшего профессионального образования в области дефектологии</v>
      </c>
      <c r="M205" s="595" t="str">
        <f aca="true" t="shared" si="4" ref="M205:S205">M204</f>
        <v> ---</v>
      </c>
      <c r="N205" s="595" t="str">
        <f t="shared" si="4"/>
        <v>Получить  высшее профессиональное образование в области дефектологии</v>
      </c>
      <c r="O205" s="595" t="str">
        <f t="shared" si="4"/>
        <v> 2) если у педагога нет высшего образования в области дефектологии</v>
      </c>
      <c r="P205" s="595" t="str">
        <f t="shared" si="4"/>
        <v> ---</v>
      </c>
      <c r="Q205" s="595" t="str">
        <f t="shared" si="4"/>
        <v> ---</v>
      </c>
      <c r="R205" s="595" t="str">
        <f t="shared" si="4"/>
        <v>Учитель-дефектолог, учитель-логопед (логопед) *</v>
      </c>
      <c r="S205" s="595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5" s="374"/>
    </row>
    <row r="206" spans="1:20" ht="22.5" hidden="1">
      <c r="A206" s="425"/>
      <c r="B206" s="426"/>
      <c r="C206" s="426"/>
      <c r="D206" s="426"/>
      <c r="E206" s="426"/>
      <c r="F206" s="426"/>
      <c r="G206" s="426"/>
      <c r="H206" s="428"/>
      <c r="I206" s="428"/>
      <c r="J206" s="596"/>
      <c r="K206" s="599" t="s">
        <v>320</v>
      </c>
      <c r="L206" s="413" t="s">
        <v>611</v>
      </c>
      <c r="M206" s="413"/>
      <c r="N206" s="364"/>
      <c r="O206" s="414"/>
      <c r="P206" s="364"/>
      <c r="Q206" s="414"/>
      <c r="R206" s="441"/>
      <c r="S206" s="437"/>
      <c r="T206" s="374"/>
    </row>
    <row r="207" spans="1:20" ht="9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440"/>
      <c r="L207" s="440"/>
      <c r="M207" s="440"/>
      <c r="N207" s="440"/>
      <c r="O207" s="440"/>
      <c r="P207" s="440"/>
      <c r="Q207" s="440"/>
      <c r="R207" s="440"/>
      <c r="S207" s="440"/>
      <c r="T207" s="374"/>
    </row>
    <row r="208" spans="1:2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M208" s="5"/>
      <c r="N208" s="5"/>
      <c r="T208" s="374"/>
    </row>
    <row r="209" spans="13:20" ht="12.75">
      <c r="M209" s="5"/>
      <c r="N209" s="5"/>
      <c r="T209" s="374"/>
    </row>
    <row r="210" spans="13:20" ht="12.75">
      <c r="M210" s="5"/>
      <c r="N210" s="5"/>
      <c r="T210" s="374"/>
    </row>
    <row r="211" spans="1:256" s="148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7"/>
      <c r="L211" s="2"/>
      <c r="M211" s="5"/>
      <c r="N211" s="5"/>
      <c r="O211" s="5"/>
      <c r="P211" s="5"/>
      <c r="Q211" s="5"/>
      <c r="R211" s="5"/>
      <c r="S211" s="5"/>
      <c r="T211" s="374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3:20" ht="12.75">
      <c r="M212" s="5"/>
      <c r="N212" s="5"/>
      <c r="T212" s="374"/>
    </row>
    <row r="213" spans="13:20" ht="12.75">
      <c r="M213" s="5"/>
      <c r="N213" s="5"/>
      <c r="T213" s="374"/>
    </row>
    <row r="214" spans="13:20" ht="12.75">
      <c r="M214" s="5"/>
      <c r="N214" s="5"/>
      <c r="T214" s="374"/>
    </row>
    <row r="215" spans="13:20" ht="12.75">
      <c r="M215" s="5"/>
      <c r="N215" s="5"/>
      <c r="T215" s="374"/>
    </row>
    <row r="216" spans="13:20" ht="12.75">
      <c r="M216" s="5"/>
      <c r="N216" s="5"/>
      <c r="T216" s="374"/>
    </row>
    <row r="217" spans="13:20" ht="12.75">
      <c r="M217" s="5"/>
      <c r="N217" s="5"/>
      <c r="T217" s="374"/>
    </row>
    <row r="218" spans="13:20" ht="12.75">
      <c r="M218" s="5"/>
      <c r="N218" s="5"/>
      <c r="T218" s="374"/>
    </row>
    <row r="219" spans="13:20" ht="12.75">
      <c r="M219" s="5"/>
      <c r="N219" s="5"/>
      <c r="T219" s="374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14" ht="12.75">
      <c r="M224" s="5"/>
      <c r="N224" s="5"/>
    </row>
    <row r="225" spans="13:14" ht="12.75">
      <c r="M225" s="5"/>
      <c r="N225" s="5"/>
    </row>
    <row r="226" spans="13:256" ht="15.75"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  <c r="GB226" s="148"/>
      <c r="GC226" s="148"/>
      <c r="GD226" s="148"/>
      <c r="GE226" s="148"/>
      <c r="GF226" s="148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  <c r="GR226" s="148"/>
      <c r="GS226" s="148"/>
      <c r="GT226" s="148"/>
      <c r="GU226" s="148"/>
      <c r="GV226" s="148"/>
      <c r="GW226" s="148"/>
      <c r="GX226" s="148"/>
      <c r="GY226" s="148"/>
      <c r="GZ226" s="148"/>
      <c r="HA226" s="148"/>
      <c r="HB226" s="148"/>
      <c r="HC226" s="148"/>
      <c r="HD226" s="148"/>
      <c r="HE226" s="148"/>
      <c r="HF226" s="148"/>
      <c r="HG226" s="148"/>
      <c r="HH226" s="148"/>
      <c r="HI226" s="148"/>
      <c r="HJ226" s="148"/>
      <c r="HK226" s="148"/>
      <c r="HL226" s="148"/>
      <c r="HM226" s="148"/>
      <c r="HN226" s="148"/>
      <c r="HO226" s="148"/>
      <c r="HP226" s="148"/>
      <c r="HQ226" s="148"/>
      <c r="HR226" s="148"/>
      <c r="HS226" s="148"/>
      <c r="HT226" s="148"/>
      <c r="HU226" s="148"/>
      <c r="HV226" s="148"/>
      <c r="HW226" s="148"/>
      <c r="HX226" s="148"/>
      <c r="HY226" s="148"/>
      <c r="HZ226" s="148"/>
      <c r="IA226" s="148"/>
      <c r="IB226" s="148"/>
      <c r="IC226" s="148"/>
      <c r="ID226" s="148"/>
      <c r="IE226" s="148"/>
      <c r="IF226" s="148"/>
      <c r="IG226" s="148"/>
      <c r="IH226" s="148"/>
      <c r="II226" s="148"/>
      <c r="IJ226" s="148"/>
      <c r="IK226" s="148"/>
      <c r="IL226" s="148"/>
      <c r="IM226" s="148"/>
      <c r="IN226" s="148"/>
      <c r="IO226" s="148"/>
      <c r="IP226" s="148"/>
      <c r="IQ226" s="148"/>
      <c r="IR226" s="148"/>
      <c r="IS226" s="148"/>
      <c r="IT226" s="148"/>
      <c r="IU226" s="148"/>
      <c r="IV226" s="148"/>
    </row>
  </sheetData>
  <sheetProtection password="CF6C" sheet="1"/>
  <mergeCells count="97">
    <mergeCell ref="B66:D66"/>
    <mergeCell ref="F51:H51"/>
    <mergeCell ref="N161:N163"/>
    <mergeCell ref="A104:I104"/>
    <mergeCell ref="G106:H106"/>
    <mergeCell ref="A73:C73"/>
    <mergeCell ref="L156:M156"/>
    <mergeCell ref="B62:D62"/>
    <mergeCell ref="A64:A65"/>
    <mergeCell ref="D92:J92"/>
    <mergeCell ref="A69:I69"/>
    <mergeCell ref="I41:J41"/>
    <mergeCell ref="B53:E53"/>
    <mergeCell ref="B25:I25"/>
    <mergeCell ref="B64:J65"/>
    <mergeCell ref="B41:H41"/>
    <mergeCell ref="B42:H42"/>
    <mergeCell ref="C35:E35"/>
    <mergeCell ref="A31:I31"/>
    <mergeCell ref="C45:I45"/>
    <mergeCell ref="A47:C47"/>
    <mergeCell ref="A28:J28"/>
    <mergeCell ref="B174:J174"/>
    <mergeCell ref="B173:J173"/>
    <mergeCell ref="A156:J156"/>
    <mergeCell ref="A170:J170"/>
    <mergeCell ref="A155:J155"/>
    <mergeCell ref="B39:I39"/>
    <mergeCell ref="C114:I114"/>
    <mergeCell ref="C115:H115"/>
    <mergeCell ref="A126:J127"/>
    <mergeCell ref="A19:I19"/>
    <mergeCell ref="B37:I37"/>
    <mergeCell ref="B29:F29"/>
    <mergeCell ref="H5:J7"/>
    <mergeCell ref="B38:I38"/>
    <mergeCell ref="A33:B33"/>
    <mergeCell ref="C33:I33"/>
    <mergeCell ref="B27:F27"/>
    <mergeCell ref="H8:J12"/>
    <mergeCell ref="H13:J17"/>
    <mergeCell ref="A80:E80"/>
    <mergeCell ref="A1:J2"/>
    <mergeCell ref="A3:J3"/>
    <mergeCell ref="B4:C4"/>
    <mergeCell ref="G35:I35"/>
    <mergeCell ref="A49:C49"/>
    <mergeCell ref="I42:J42"/>
    <mergeCell ref="B43:H43"/>
    <mergeCell ref="H4:J4"/>
    <mergeCell ref="E23:J23"/>
    <mergeCell ref="A128:J128"/>
    <mergeCell ref="A56:A57"/>
    <mergeCell ref="B56:J57"/>
    <mergeCell ref="B58:D58"/>
    <mergeCell ref="A60:A61"/>
    <mergeCell ref="A93:I93"/>
    <mergeCell ref="G82:H82"/>
    <mergeCell ref="A83:F83"/>
    <mergeCell ref="B60:J61"/>
    <mergeCell ref="B75:J77"/>
    <mergeCell ref="G86:H86"/>
    <mergeCell ref="A90:J91"/>
    <mergeCell ref="A95:H97"/>
    <mergeCell ref="A98:H99"/>
    <mergeCell ref="A102:J102"/>
    <mergeCell ref="G85:H85"/>
    <mergeCell ref="C113:H113"/>
    <mergeCell ref="M161:M163"/>
    <mergeCell ref="C116:I116"/>
    <mergeCell ref="C118:I118"/>
    <mergeCell ref="C119:H119"/>
    <mergeCell ref="A123:I123"/>
    <mergeCell ref="A129:J129"/>
    <mergeCell ref="A158:J159"/>
    <mergeCell ref="A131:J132"/>
    <mergeCell ref="A157:J157"/>
    <mergeCell ref="C117:H117"/>
    <mergeCell ref="A108:I108"/>
    <mergeCell ref="C112:I112"/>
    <mergeCell ref="A35:B35"/>
    <mergeCell ref="K158:K159"/>
    <mergeCell ref="A161:J164"/>
    <mergeCell ref="A150:J150"/>
    <mergeCell ref="H125:J125"/>
    <mergeCell ref="G83:H83"/>
    <mergeCell ref="A113:A114"/>
    <mergeCell ref="U28:AQ28"/>
    <mergeCell ref="A175:J175"/>
    <mergeCell ref="A166:J166"/>
    <mergeCell ref="A167:J167"/>
    <mergeCell ref="L161:L163"/>
    <mergeCell ref="A171:J171"/>
    <mergeCell ref="A153:J153"/>
    <mergeCell ref="A101:J101"/>
    <mergeCell ref="A165:J165"/>
    <mergeCell ref="K165:K166"/>
  </mergeCells>
  <conditionalFormatting sqref="I41">
    <cfRule type="expression" priority="44" dxfId="40" stopIfTrue="1">
      <formula>$I$41&lt;&gt;""</formula>
    </cfRule>
  </conditionalFormatting>
  <conditionalFormatting sqref="A131 A1">
    <cfRule type="cellIs" priority="41" dxfId="41" operator="equal" stopIfTrue="1">
      <formula>"Все данные введены. Перейдите на лист ЭЗ"</formula>
    </cfRule>
  </conditionalFormatting>
  <conditionalFormatting sqref="B118:I119">
    <cfRule type="expression" priority="42" dxfId="42" stopIfTrue="1">
      <formula>$F$110&lt;3</formula>
    </cfRule>
  </conditionalFormatting>
  <conditionalFormatting sqref="B116:B117 I116:I117 C116:H116">
    <cfRule type="expression" priority="43" dxfId="42" stopIfTrue="1">
      <formula>$F$110&lt;2</formula>
    </cfRule>
  </conditionalFormatting>
  <conditionalFormatting sqref="A126">
    <cfRule type="containsText" priority="40" dxfId="43" operator="containsText" stopIfTrue="1" text="НЕ СООТВ">
      <formula>NOT(ISERROR(SEARCH("НЕ СООТВ",A126)))</formula>
    </cfRule>
  </conditionalFormatting>
  <conditionalFormatting sqref="I86">
    <cfRule type="expression" priority="33" dxfId="42" stopIfTrue="1">
      <formula>$G$86="нет"</formula>
    </cfRule>
  </conditionalFormatting>
  <conditionalFormatting sqref="K78 J86">
    <cfRule type="expression" priority="35" dxfId="44" stopIfTrue="1">
      <formula>$G$86="нет"</formula>
    </cfRule>
  </conditionalFormatting>
  <conditionalFormatting sqref="H80">
    <cfRule type="expression" priority="37" dxfId="45" stopIfTrue="1">
      <formula>$G$80&gt;0</formula>
    </cfRule>
  </conditionalFormatting>
  <conditionalFormatting sqref="I42">
    <cfRule type="expression" priority="32" dxfId="40" stopIfTrue="1">
      <formula>$I$43&lt;&gt;""</formula>
    </cfRule>
  </conditionalFormatting>
  <conditionalFormatting sqref="B42">
    <cfRule type="expression" priority="31" dxfId="46" stopIfTrue="1">
      <formula>"$A$23=""-"""</formula>
    </cfRule>
  </conditionalFormatting>
  <conditionalFormatting sqref="E4:F16">
    <cfRule type="cellIs" priority="45" dxfId="47" operator="equal" stopIfTrue="1">
      <formula>0</formula>
    </cfRule>
  </conditionalFormatting>
  <conditionalFormatting sqref="I51:J51 E51:F51">
    <cfRule type="expression" priority="46" dxfId="42" stopIfTrue="1">
      <formula>$D$49&lt;&gt;"нет"</formula>
    </cfRule>
  </conditionalFormatting>
  <conditionalFormatting sqref="C117:H117">
    <cfRule type="expression" priority="47" dxfId="48" stopIfTrue="1">
      <formula>$F$110&lt;2</formula>
    </cfRule>
  </conditionalFormatting>
  <conditionalFormatting sqref="C24 Q24">
    <cfRule type="expression" priority="65" dxfId="49" stopIfTrue="1">
      <formula>#REF!="нет"</formula>
    </cfRule>
  </conditionalFormatting>
  <conditionalFormatting sqref="J73:J74 E73 G73">
    <cfRule type="expression" priority="131" dxfId="50" stopIfTrue="1">
      <formula>$A$73=$N$77</formula>
    </cfRule>
  </conditionalFormatting>
  <conditionalFormatting sqref="B75:J77">
    <cfRule type="expression" priority="134" dxfId="51" stopIfTrue="1">
      <formula>$A$73=$N$77</formula>
    </cfRule>
  </conditionalFormatting>
  <conditionalFormatting sqref="K127">
    <cfRule type="containsText" priority="10" dxfId="52" operator="containsText" stopIfTrue="1" text="не соотв">
      <formula>NOT(ISERROR(SEARCH("не соотв",K127)))</formula>
    </cfRule>
  </conditionalFormatting>
  <conditionalFormatting sqref="E23:J23">
    <cfRule type="expression" priority="157" dxfId="53" stopIfTrue="1">
      <formula>$C$23&lt;&gt;"да"</formula>
    </cfRule>
  </conditionalFormatting>
  <conditionalFormatting sqref="C21:C23">
    <cfRule type="expression" priority="180" dxfId="51" stopIfTrue="1">
      <formula>$B$21=""</formula>
    </cfRule>
  </conditionalFormatting>
  <conditionalFormatting sqref="I96">
    <cfRule type="expression" priority="190" dxfId="54" stopIfTrue="1">
      <formula>OR($G$82="да",$G$83="да",$G$87="да")</formula>
    </cfRule>
  </conditionalFormatting>
  <conditionalFormatting sqref="J96">
    <cfRule type="expression" priority="193" dxfId="44" stopIfTrue="1">
      <formula>AND($G$82="нет",$G$83="нет",$G$87="нет")</formula>
    </cfRule>
  </conditionalFormatting>
  <conditionalFormatting sqref="I49">
    <cfRule type="expression" priority="9" dxfId="55" stopIfTrue="1">
      <formula>$D$49="нет"</formula>
    </cfRule>
  </conditionalFormatting>
  <conditionalFormatting sqref="I49">
    <cfRule type="expression" priority="2" dxfId="55" stopIfTrue="1">
      <formula>$D$48="нет"</formula>
    </cfRule>
  </conditionalFormatting>
  <conditionalFormatting sqref="Q27">
    <cfRule type="expression" priority="1" dxfId="49" stopIfTrue="1">
      <formula>#REF!="нет"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51">
      <formula1>25569</formula1>
      <formula2>N49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8 E62 E66">
      <formula1>1900</formula1>
      <formula2>K58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3">
      <formula1>L73</formula1>
      <formula2>K73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9">
      <formula1>M49</formula1>
      <formula2>N49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5:E35">
      <formula1>$E$4:$E$16</formula1>
    </dataValidation>
    <dataValidation type="list" showInputMessage="1" showErrorMessage="1" sqref="G82:H83 G85:H86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6">
      <formula1>"нет, да"</formula1>
    </dataValidation>
    <dataValidation type="list" showInputMessage="1" showErrorMessage="1" promptTitle="Выберите из списка" prompt=" (нет/да)" sqref="I99">
      <formula1>"нет, да"</formula1>
    </dataValidation>
    <dataValidation type="list" allowBlank="1" showInputMessage="1" showErrorMessage="1" sqref="F110">
      <formula1>"1, 2"</formula1>
    </dataValidation>
    <dataValidation allowBlank="1" showInputMessage="1" showErrorMessage="1" promptTitle="Введите" prompt="ФИО полностью&#10;" sqref="C112 C114 C116 C118"/>
    <dataValidation type="whole" allowBlank="1" showInputMessage="1" showErrorMessage="1" promptTitle="Введите число" prompt="от 12 до 25" sqref="H121">
      <formula1>20</formula1>
      <formula2>35</formula2>
    </dataValidation>
    <dataValidation type="list" allowBlank="1" showInputMessage="1" showErrorMessage="1" promptTitle="Воспользуйтесь кнопкой" prompt="справа" sqref="E121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21">
      <formula1>1</formula1>
      <formula2>31</formula2>
    </dataValidation>
    <dataValidation allowBlank="1" showInputMessage="1" showErrorMessage="1" promptTitle="Введите" prompt="ФИО полностью" sqref="L113 C36:I36 C33:I34"/>
    <dataValidation errorStyle="warning" type="list" allowBlank="1" showInputMessage="1" showErrorMessage="1" errorTitle="Внимание! Нет в списке!" error="&#10;Вы уверены?&#10;----------------" sqref="A64:A65 A60:A61">
      <formula1>$K$53:$R$53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4:J65 B56:J57 B60:J61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8 J86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3">
      <formula1>$N$77:$N$79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80">
      <formula1>16</formula1>
      <formula2>9000</formula2>
    </dataValidation>
    <dataValidation type="list" showInputMessage="1" showErrorMessage="1" promptTitle="Выберите из списка" prompt="воспользуйтесь кнопкой" sqref="A80:E80">
      <formula1>$L$76:$L$80</formula1>
    </dataValidation>
    <dataValidation type="list" allowBlank="1" showInputMessage="1" showErrorMessage="1" promptTitle="Выберите из списка" prompt="год окончания&#10;   или &#10;обучается" sqref="E73">
      <formula1>"год окончания, обучается, "</formula1>
    </dataValidation>
    <dataValidation type="list" showInputMessage="1" showErrorMessage="1" sqref="N60:O60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9:I39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8:I38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">
      <formula1>0</formula1>
      <formula2>66</formula2>
    </dataValidation>
    <dataValidation errorStyle="information" allowBlank="1" sqref="A45:I46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5:I35">
      <formula1>$E$4:$E$16</formula1>
    </dataValidation>
    <dataValidation type="list" allowBlank="1" showInputMessage="1" showErrorMessage="1" promptTitle="Выберите из списка" prompt="воспользуйтесь кнопкой" sqref="D51">
      <formula1>"первая, высшая"</formula1>
    </dataValidation>
    <dataValidation type="whole" allowBlank="1" showInputMessage="1" showErrorMessage="1" promptTitle="Введите" prompt="целое число лет" sqref="D47">
      <formula1>1</formula1>
      <formula2>99</formula2>
    </dataValidation>
    <dataValidation type="list" showInputMessage="1" showErrorMessage="1" promptTitle="выберите из списка" prompt="воспользуйтесь кнопкой" sqref="D49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51:H51">
      <formula1>$L$50:$N$50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5:J77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$B$133:$H$133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3:E53">
      <formula1>$L$53:$N$53</formula1>
    </dataValidation>
    <dataValidation errorStyle="warning" allowBlank="1" showInputMessage="1" showErrorMessage="1" errorTitle="Внимание! Нет в списке!" error="&#10;Вы уверены?&#10;----------------" sqref="A56:A57"/>
    <dataValidation type="list" showInputMessage="1" showErrorMessage="1" promptTitle="выберите из списка" prompt="НЕТ \ ДА" sqref="G106:H106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41:H41">
      <formula1>"педагог-психолог,"</formula1>
    </dataValidation>
    <dataValidation errorStyle="information" type="list" allowBlank="1" showInputMessage="1" showErrorMessage="1" promptTitle="!!!  в ИМЕНИТЕЛЬНОМ  падеже !!!" errorTitle="Внимание!" error="Длина строки более 50 символов" sqref="B42:H42">
      <formula1>$M$35:$M$39</formula1>
    </dataValidation>
    <dataValidation type="list" showInputMessage="1" showErrorMessage="1" errorTitle="Внимание!" error="Выберите из списка" sqref="B27:F27">
      <formula1>$L$21:$L$25</formula1>
    </dataValidation>
  </dataValidations>
  <hyperlinks>
    <hyperlink ref="A150:J150" location="ЭЗ!A40" tooltip="Щелкните, чтобы перейти по ссылке" display="Перейти на лист 'ЭЗ'"/>
    <hyperlink ref="A153:J153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5:J175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3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5.2539062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10.75390625" style="5" hidden="1" customWidth="1"/>
    <col min="33" max="33" width="5.125" style="5" hidden="1" customWidth="1"/>
    <col min="34" max="34" width="6.00390625" style="5" hidden="1" customWidth="1"/>
    <col min="35" max="35" width="9.125" style="5" customWidth="1"/>
    <col min="36" max="36" width="4.375" style="5" bestFit="1" customWidth="1"/>
    <col min="37" max="37" width="9.125" style="5" customWidth="1"/>
    <col min="38" max="39" width="4.00390625" style="5" bestFit="1" customWidth="1"/>
    <col min="40" max="40" width="4.25390625" style="5" bestFit="1" customWidth="1"/>
    <col min="41" max="42" width="4.00390625" style="5" bestFit="1" customWidth="1"/>
    <col min="43" max="16384" width="9.125" style="5" customWidth="1"/>
  </cols>
  <sheetData>
    <row r="1" spans="24:34" ht="12.75" customHeight="1" hidden="1">
      <c r="X1" s="303"/>
      <c r="Y1" s="236"/>
      <c r="Z1" s="237"/>
      <c r="AA1" s="225"/>
      <c r="AB1" s="225" t="s">
        <v>178</v>
      </c>
      <c r="AC1" s="238" t="s">
        <v>179</v>
      </c>
      <c r="AE1" s="191"/>
      <c r="AF1" s="619" t="s">
        <v>630</v>
      </c>
      <c r="AG1" s="525" t="s">
        <v>510</v>
      </c>
      <c r="AH1" s="525" t="s">
        <v>511</v>
      </c>
    </row>
    <row r="2" spans="24:35" ht="12.75" customHeight="1" hidden="1">
      <c r="X2" s="303"/>
      <c r="Y2" s="342" t="s">
        <v>119</v>
      </c>
      <c r="Z2" s="346"/>
      <c r="AA2" s="336" t="s">
        <v>365</v>
      </c>
      <c r="AB2" s="228"/>
      <c r="AC2" s="229">
        <f>LEN(AA2)</f>
        <v>8</v>
      </c>
      <c r="AE2" s="330" t="s">
        <v>120</v>
      </c>
      <c r="AF2" s="618"/>
      <c r="AG2" s="525"/>
      <c r="AH2" s="620"/>
      <c r="AI2" s="5" t="s">
        <v>119</v>
      </c>
    </row>
    <row r="3" spans="24:35" ht="12.75" hidden="1">
      <c r="X3" s="303"/>
      <c r="Y3" s="343" t="s">
        <v>121</v>
      </c>
      <c r="Z3" s="347" t="s">
        <v>140</v>
      </c>
      <c r="AA3" s="336" t="s">
        <v>366</v>
      </c>
      <c r="AB3" s="228"/>
      <c r="AC3" s="229">
        <f aca="true" t="shared" si="0" ref="AC3:AC33">LEN(AA3)</f>
        <v>11</v>
      </c>
      <c r="AE3" s="330" t="s">
        <v>122</v>
      </c>
      <c r="AF3" s="618"/>
      <c r="AG3" s="525"/>
      <c r="AH3" s="620"/>
      <c r="AI3" s="5" t="s">
        <v>121</v>
      </c>
    </row>
    <row r="4" spans="24:35" ht="12.75" hidden="1">
      <c r="X4" s="303"/>
      <c r="Y4" s="344" t="s">
        <v>123</v>
      </c>
      <c r="Z4" s="348"/>
      <c r="AA4" s="336" t="s">
        <v>367</v>
      </c>
      <c r="AB4" s="228"/>
      <c r="AC4" s="229">
        <f t="shared" si="0"/>
        <v>11</v>
      </c>
      <c r="AE4" s="330" t="s">
        <v>124</v>
      </c>
      <c r="AF4" s="618"/>
      <c r="AG4" s="525"/>
      <c r="AH4" s="620"/>
      <c r="AI4" s="5" t="s">
        <v>123</v>
      </c>
    </row>
    <row r="5" spans="24:35" ht="12.75" hidden="1">
      <c r="X5" s="303"/>
      <c r="Y5" s="343" t="s">
        <v>125</v>
      </c>
      <c r="Z5" s="347"/>
      <c r="AA5" s="336" t="s">
        <v>368</v>
      </c>
      <c r="AB5" s="228"/>
      <c r="AC5" s="229">
        <f t="shared" si="0"/>
        <v>20</v>
      </c>
      <c r="AE5" s="330" t="s">
        <v>126</v>
      </c>
      <c r="AF5" s="618">
        <v>10</v>
      </c>
      <c r="AG5" s="525">
        <v>230</v>
      </c>
      <c r="AH5" s="620">
        <v>390</v>
      </c>
      <c r="AI5" s="5" t="s">
        <v>125</v>
      </c>
    </row>
    <row r="6" spans="24:35" ht="12.75" hidden="1">
      <c r="X6" s="303"/>
      <c r="Y6" s="343" t="s">
        <v>127</v>
      </c>
      <c r="Z6" s="347"/>
      <c r="AA6" s="336" t="s">
        <v>547</v>
      </c>
      <c r="AB6" s="228"/>
      <c r="AC6" s="229">
        <f t="shared" si="0"/>
        <v>34</v>
      </c>
      <c r="AE6" s="330" t="s">
        <v>128</v>
      </c>
      <c r="AF6" s="618">
        <v>5</v>
      </c>
      <c r="AG6" s="539">
        <v>210</v>
      </c>
      <c r="AH6" s="540">
        <v>440</v>
      </c>
      <c r="AI6" s="5" t="s">
        <v>127</v>
      </c>
    </row>
    <row r="7" spans="24:35" ht="12.75" hidden="1">
      <c r="X7" s="303"/>
      <c r="Y7" s="343" t="s">
        <v>129</v>
      </c>
      <c r="Z7" s="347"/>
      <c r="AA7" s="336" t="s">
        <v>369</v>
      </c>
      <c r="AB7" s="228"/>
      <c r="AC7" s="229">
        <f t="shared" si="0"/>
        <v>21</v>
      </c>
      <c r="AE7" s="330" t="s">
        <v>130</v>
      </c>
      <c r="AF7" s="618">
        <v>21</v>
      </c>
      <c r="AG7" s="525">
        <v>270</v>
      </c>
      <c r="AH7" s="620">
        <v>460</v>
      </c>
      <c r="AI7" s="5" t="s">
        <v>129</v>
      </c>
    </row>
    <row r="8" spans="24:35" ht="12.75" hidden="1">
      <c r="X8" s="303"/>
      <c r="Y8" s="343" t="s">
        <v>131</v>
      </c>
      <c r="Z8" s="347"/>
      <c r="AA8" s="336" t="s">
        <v>370</v>
      </c>
      <c r="AB8" s="228"/>
      <c r="AC8" s="229">
        <f t="shared" si="0"/>
        <v>15</v>
      </c>
      <c r="AE8" s="330" t="s">
        <v>132</v>
      </c>
      <c r="AF8" s="618">
        <v>18</v>
      </c>
      <c r="AG8" s="525">
        <v>150</v>
      </c>
      <c r="AH8" s="620">
        <v>280</v>
      </c>
      <c r="AI8" s="5" t="s">
        <v>131</v>
      </c>
    </row>
    <row r="9" spans="24:35" ht="12.75" hidden="1">
      <c r="X9" s="303"/>
      <c r="Y9" s="344" t="s">
        <v>133</v>
      </c>
      <c r="Z9" s="348"/>
      <c r="AA9" s="336" t="s">
        <v>371</v>
      </c>
      <c r="AB9" s="228"/>
      <c r="AC9" s="229">
        <f t="shared" si="0"/>
        <v>8</v>
      </c>
      <c r="AE9" s="330" t="s">
        <v>134</v>
      </c>
      <c r="AF9" s="618">
        <v>6</v>
      </c>
      <c r="AG9" s="551">
        <v>260</v>
      </c>
      <c r="AH9" s="552">
        <v>490</v>
      </c>
      <c r="AI9" s="5" t="s">
        <v>133</v>
      </c>
    </row>
    <row r="10" spans="24:35" ht="12.75" hidden="1">
      <c r="X10" s="303"/>
      <c r="Y10" s="343" t="s">
        <v>135</v>
      </c>
      <c r="Z10" s="347"/>
      <c r="AA10" s="336" t="s">
        <v>455</v>
      </c>
      <c r="AB10" s="228"/>
      <c r="AC10" s="229">
        <f t="shared" si="0"/>
        <v>34</v>
      </c>
      <c r="AE10" s="330" t="s">
        <v>456</v>
      </c>
      <c r="AF10" s="618">
        <v>22</v>
      </c>
      <c r="AG10" s="525">
        <v>190</v>
      </c>
      <c r="AH10" s="620">
        <v>340</v>
      </c>
      <c r="AI10" s="5" t="s">
        <v>135</v>
      </c>
    </row>
    <row r="11" spans="24:35" ht="12.75" hidden="1">
      <c r="X11" s="303"/>
      <c r="Y11" s="343" t="s">
        <v>136</v>
      </c>
      <c r="Z11" s="347"/>
      <c r="AA11" s="336" t="s">
        <v>372</v>
      </c>
      <c r="AB11" s="228"/>
      <c r="AC11" s="229">
        <f t="shared" si="0"/>
        <v>9</v>
      </c>
      <c r="AE11" s="330" t="s">
        <v>137</v>
      </c>
      <c r="AF11" s="618">
        <v>13</v>
      </c>
      <c r="AG11" s="525">
        <v>250</v>
      </c>
      <c r="AH11" s="620">
        <v>440</v>
      </c>
      <c r="AI11" s="5" t="s">
        <v>136</v>
      </c>
    </row>
    <row r="12" spans="24:35" ht="12.75" hidden="1">
      <c r="X12" s="303"/>
      <c r="Y12" s="343" t="s">
        <v>138</v>
      </c>
      <c r="Z12" s="347"/>
      <c r="AA12" s="336" t="s">
        <v>373</v>
      </c>
      <c r="AB12" s="228"/>
      <c r="AC12" s="229">
        <f t="shared" si="0"/>
        <v>25</v>
      </c>
      <c r="AE12" s="330" t="s">
        <v>139</v>
      </c>
      <c r="AF12" s="618">
        <v>4</v>
      </c>
      <c r="AG12" s="539">
        <v>200</v>
      </c>
      <c r="AH12" s="540">
        <v>390</v>
      </c>
      <c r="AI12" s="5" t="s">
        <v>138</v>
      </c>
    </row>
    <row r="13" spans="24:35" ht="12.75" hidden="1">
      <c r="X13" s="303"/>
      <c r="Y13" s="343" t="s">
        <v>141</v>
      </c>
      <c r="Z13" s="347"/>
      <c r="AA13" s="336" t="s">
        <v>374</v>
      </c>
      <c r="AB13" s="228"/>
      <c r="AC13" s="229">
        <f t="shared" si="0"/>
        <v>25</v>
      </c>
      <c r="AE13" s="330" t="s">
        <v>142</v>
      </c>
      <c r="AF13" s="618">
        <v>19</v>
      </c>
      <c r="AG13" s="525">
        <v>240</v>
      </c>
      <c r="AH13" s="620">
        <v>400</v>
      </c>
      <c r="AI13" s="5" t="s">
        <v>141</v>
      </c>
    </row>
    <row r="14" spans="24:35" ht="12.75" hidden="1">
      <c r="X14" s="303"/>
      <c r="Y14" s="342" t="s">
        <v>324</v>
      </c>
      <c r="Z14" s="346"/>
      <c r="AA14" s="336" t="s">
        <v>375</v>
      </c>
      <c r="AB14" s="228"/>
      <c r="AC14" s="229">
        <f t="shared" si="0"/>
        <v>21</v>
      </c>
      <c r="AE14" s="330" t="s">
        <v>325</v>
      </c>
      <c r="AF14" s="618">
        <v>15</v>
      </c>
      <c r="AG14" s="525">
        <v>160</v>
      </c>
      <c r="AH14" s="620">
        <v>260</v>
      </c>
      <c r="AI14" s="5" t="s">
        <v>324</v>
      </c>
    </row>
    <row r="15" spans="24:35" ht="12.75" hidden="1">
      <c r="X15" s="303"/>
      <c r="Y15" s="343" t="s">
        <v>143</v>
      </c>
      <c r="Z15" s="347" t="s">
        <v>140</v>
      </c>
      <c r="AA15" s="336" t="s">
        <v>376</v>
      </c>
      <c r="AB15" s="228"/>
      <c r="AC15" s="229">
        <f t="shared" si="0"/>
        <v>21</v>
      </c>
      <c r="AE15" s="330" t="s">
        <v>144</v>
      </c>
      <c r="AF15" s="618">
        <v>9</v>
      </c>
      <c r="AG15" s="525">
        <v>220</v>
      </c>
      <c r="AH15" s="620">
        <v>420</v>
      </c>
      <c r="AI15" s="5" t="s">
        <v>143</v>
      </c>
    </row>
    <row r="16" spans="24:35" ht="13.5" hidden="1" thickBot="1">
      <c r="X16" s="303"/>
      <c r="Y16" s="343" t="s">
        <v>145</v>
      </c>
      <c r="Z16" s="347"/>
      <c r="AA16" s="336" t="s">
        <v>377</v>
      </c>
      <c r="AB16" s="228"/>
      <c r="AC16" s="229">
        <f t="shared" si="0"/>
        <v>18</v>
      </c>
      <c r="AE16" s="330" t="s">
        <v>146</v>
      </c>
      <c r="AF16" s="618"/>
      <c r="AG16" s="525"/>
      <c r="AH16" s="620"/>
      <c r="AI16" s="5" t="s">
        <v>145</v>
      </c>
    </row>
    <row r="17" spans="24:42" ht="13.5" hidden="1" thickBot="1">
      <c r="X17" s="303"/>
      <c r="Y17" s="343" t="s">
        <v>147</v>
      </c>
      <c r="Z17" s="347" t="s">
        <v>140</v>
      </c>
      <c r="AA17" s="336" t="s">
        <v>378</v>
      </c>
      <c r="AB17" s="228"/>
      <c r="AC17" s="229">
        <f t="shared" si="0"/>
        <v>13</v>
      </c>
      <c r="AE17" s="330" t="s">
        <v>148</v>
      </c>
      <c r="AF17" s="618"/>
      <c r="AG17" s="525"/>
      <c r="AH17" s="620"/>
      <c r="AI17" s="5" t="s">
        <v>147</v>
      </c>
      <c r="AK17" s="621" t="s">
        <v>631</v>
      </c>
      <c r="AL17" s="622">
        <v>190</v>
      </c>
      <c r="AM17" s="623">
        <v>240</v>
      </c>
      <c r="AN17" s="621" t="s">
        <v>632</v>
      </c>
      <c r="AO17" s="622">
        <v>190</v>
      </c>
      <c r="AP17" s="623">
        <v>350</v>
      </c>
    </row>
    <row r="18" spans="24:35" ht="12.75" hidden="1">
      <c r="X18" s="303"/>
      <c r="Y18" s="343" t="s">
        <v>397</v>
      </c>
      <c r="Z18" s="347" t="s">
        <v>140</v>
      </c>
      <c r="AA18" s="336" t="s">
        <v>379</v>
      </c>
      <c r="AB18" s="228"/>
      <c r="AC18" s="229">
        <f t="shared" si="0"/>
        <v>30</v>
      </c>
      <c r="AE18" s="330" t="s">
        <v>364</v>
      </c>
      <c r="AF18" s="618">
        <v>11</v>
      </c>
      <c r="AG18" s="525">
        <v>260</v>
      </c>
      <c r="AH18" s="620">
        <v>490</v>
      </c>
      <c r="AI18" s="5" t="s">
        <v>487</v>
      </c>
    </row>
    <row r="19" spans="24:35" ht="12.75" hidden="1">
      <c r="X19" s="303"/>
      <c r="Y19" s="343" t="s">
        <v>322</v>
      </c>
      <c r="Z19" s="347"/>
      <c r="AA19" s="336" t="s">
        <v>380</v>
      </c>
      <c r="AB19" s="228"/>
      <c r="AC19" s="229">
        <f t="shared" si="0"/>
        <v>28</v>
      </c>
      <c r="AE19" s="330" t="s">
        <v>149</v>
      </c>
      <c r="AF19" s="618">
        <v>8</v>
      </c>
      <c r="AG19" s="525">
        <v>250</v>
      </c>
      <c r="AH19" s="620">
        <v>440</v>
      </c>
      <c r="AI19" s="5" t="s">
        <v>322</v>
      </c>
    </row>
    <row r="20" spans="24:35" ht="12.75" hidden="1">
      <c r="X20" s="303"/>
      <c r="Y20" s="343" t="s">
        <v>150</v>
      </c>
      <c r="Z20" s="347"/>
      <c r="AA20" s="336" t="s">
        <v>381</v>
      </c>
      <c r="AB20" s="228"/>
      <c r="AC20" s="229">
        <f t="shared" si="0"/>
        <v>20</v>
      </c>
      <c r="AE20" s="330" t="s">
        <v>151</v>
      </c>
      <c r="AF20" s="618">
        <v>17</v>
      </c>
      <c r="AG20" s="525">
        <v>250</v>
      </c>
      <c r="AH20" s="620">
        <v>430</v>
      </c>
      <c r="AI20" s="5" t="s">
        <v>150</v>
      </c>
    </row>
    <row r="21" spans="24:35" ht="12.75" hidden="1">
      <c r="X21" s="303"/>
      <c r="Y21" s="342" t="s">
        <v>152</v>
      </c>
      <c r="Z21" s="346"/>
      <c r="AA21" s="336" t="s">
        <v>382</v>
      </c>
      <c r="AB21" s="228"/>
      <c r="AC21" s="229">
        <f t="shared" si="0"/>
        <v>17</v>
      </c>
      <c r="AE21" s="330" t="s">
        <v>153</v>
      </c>
      <c r="AF21" s="618">
        <v>25</v>
      </c>
      <c r="AG21" s="525">
        <v>160</v>
      </c>
      <c r="AH21" s="620">
        <v>290</v>
      </c>
      <c r="AI21" s="5" t="s">
        <v>152</v>
      </c>
    </row>
    <row r="22" spans="24:35" ht="12.75" hidden="1">
      <c r="X22" s="303"/>
      <c r="Y22" s="342" t="s">
        <v>154</v>
      </c>
      <c r="Z22" s="346"/>
      <c r="AA22" s="336" t="s">
        <v>383</v>
      </c>
      <c r="AB22" s="228"/>
      <c r="AC22" s="229">
        <f t="shared" si="0"/>
        <v>20</v>
      </c>
      <c r="AE22" s="330" t="s">
        <v>155</v>
      </c>
      <c r="AF22" s="618">
        <v>13</v>
      </c>
      <c r="AG22" s="525">
        <v>250</v>
      </c>
      <c r="AH22" s="620">
        <v>440</v>
      </c>
      <c r="AI22" s="5" t="s">
        <v>154</v>
      </c>
    </row>
    <row r="23" spans="24:35" ht="12.75" hidden="1">
      <c r="X23" s="303"/>
      <c r="Y23" s="342" t="s">
        <v>326</v>
      </c>
      <c r="Z23" s="346"/>
      <c r="AA23" s="336" t="s">
        <v>384</v>
      </c>
      <c r="AB23" s="228"/>
      <c r="AC23" s="229">
        <f t="shared" si="0"/>
        <v>30</v>
      </c>
      <c r="AE23" s="330" t="s">
        <v>327</v>
      </c>
      <c r="AF23" s="618"/>
      <c r="AG23" s="525"/>
      <c r="AH23" s="620"/>
      <c r="AI23" s="5" t="s">
        <v>326</v>
      </c>
    </row>
    <row r="24" spans="24:35" ht="12.75" hidden="1">
      <c r="X24" s="303"/>
      <c r="Y24" s="342" t="s">
        <v>317</v>
      </c>
      <c r="Z24" s="346"/>
      <c r="AA24" s="336" t="s">
        <v>385</v>
      </c>
      <c r="AB24" s="228"/>
      <c r="AC24" s="229">
        <f t="shared" si="0"/>
        <v>18</v>
      </c>
      <c r="AE24" s="330" t="s">
        <v>318</v>
      </c>
      <c r="AF24" s="618"/>
      <c r="AG24" s="525"/>
      <c r="AH24" s="620"/>
      <c r="AI24" s="5" t="s">
        <v>317</v>
      </c>
    </row>
    <row r="25" spans="24:35" ht="12.75" hidden="1">
      <c r="X25" s="303"/>
      <c r="Y25" s="342" t="s">
        <v>319</v>
      </c>
      <c r="Z25" s="346"/>
      <c r="AA25" s="336" t="s">
        <v>386</v>
      </c>
      <c r="AB25" s="228"/>
      <c r="AC25" s="229">
        <f t="shared" si="0"/>
        <v>33</v>
      </c>
      <c r="AE25" s="330" t="s">
        <v>323</v>
      </c>
      <c r="AF25" s="618"/>
      <c r="AG25" s="525"/>
      <c r="AH25" s="620"/>
      <c r="AI25" s="5" t="s">
        <v>319</v>
      </c>
    </row>
    <row r="26" spans="24:35" ht="12.75" hidden="1">
      <c r="X26" s="303"/>
      <c r="Y26" s="342" t="s">
        <v>316</v>
      </c>
      <c r="Z26" s="346"/>
      <c r="AA26" s="336" t="s">
        <v>387</v>
      </c>
      <c r="AB26" s="228"/>
      <c r="AC26" s="229">
        <f t="shared" si="0"/>
        <v>16</v>
      </c>
      <c r="AE26" s="330" t="s">
        <v>315</v>
      </c>
      <c r="AF26" s="618"/>
      <c r="AG26" s="525"/>
      <c r="AH26" s="620"/>
      <c r="AI26" s="5" t="s">
        <v>316</v>
      </c>
    </row>
    <row r="27" spans="24:35" ht="12.75" hidden="1">
      <c r="X27" s="303"/>
      <c r="Y27" s="344" t="s">
        <v>156</v>
      </c>
      <c r="Z27" s="348" t="s">
        <v>140</v>
      </c>
      <c r="AA27" s="336" t="s">
        <v>388</v>
      </c>
      <c r="AB27" s="228"/>
      <c r="AC27" s="229">
        <f t="shared" si="0"/>
        <v>7</v>
      </c>
      <c r="AE27" s="330" t="s">
        <v>157</v>
      </c>
      <c r="AF27" s="618"/>
      <c r="AG27" s="525"/>
      <c r="AH27" s="620"/>
      <c r="AI27" s="5" t="s">
        <v>156</v>
      </c>
    </row>
    <row r="28" spans="24:35" ht="12.75" hidden="1">
      <c r="X28" s="303"/>
      <c r="Y28" s="343" t="s">
        <v>158</v>
      </c>
      <c r="Z28" s="347" t="s">
        <v>140</v>
      </c>
      <c r="AA28" s="336" t="s">
        <v>389</v>
      </c>
      <c r="AB28" s="228"/>
      <c r="AC28" s="229">
        <f t="shared" si="0"/>
        <v>21</v>
      </c>
      <c r="AE28" s="330" t="s">
        <v>159</v>
      </c>
      <c r="AF28" s="618">
        <v>20</v>
      </c>
      <c r="AG28" s="525">
        <v>240</v>
      </c>
      <c r="AH28" s="620">
        <v>450</v>
      </c>
      <c r="AI28" s="5" t="s">
        <v>158</v>
      </c>
    </row>
    <row r="29" spans="24:35" ht="12.75" hidden="1">
      <c r="X29" s="303"/>
      <c r="Y29" s="342" t="s">
        <v>328</v>
      </c>
      <c r="Z29" s="346" t="s">
        <v>140</v>
      </c>
      <c r="AA29" s="336" t="s">
        <v>390</v>
      </c>
      <c r="AB29" s="228"/>
      <c r="AC29" s="229">
        <f t="shared" si="0"/>
        <v>7</v>
      </c>
      <c r="AE29" s="330" t="s">
        <v>329</v>
      </c>
      <c r="AF29" s="618">
        <v>14</v>
      </c>
      <c r="AG29" s="525">
        <v>220</v>
      </c>
      <c r="AH29" s="620">
        <v>390</v>
      </c>
      <c r="AI29" s="5" t="s">
        <v>328</v>
      </c>
    </row>
    <row r="30" spans="24:35" ht="12.75" hidden="1">
      <c r="X30" s="303"/>
      <c r="Y30" s="343" t="s">
        <v>13</v>
      </c>
      <c r="Z30" s="347" t="s">
        <v>140</v>
      </c>
      <c r="AA30" s="336" t="s">
        <v>391</v>
      </c>
      <c r="AB30" s="228"/>
      <c r="AC30" s="229">
        <f t="shared" si="0"/>
        <v>7</v>
      </c>
      <c r="AE30" s="330" t="s">
        <v>6</v>
      </c>
      <c r="AF30" s="618">
        <v>1.12</v>
      </c>
      <c r="AG30" s="525">
        <v>210</v>
      </c>
      <c r="AH30" s="620">
        <v>450</v>
      </c>
      <c r="AI30" s="5" t="s">
        <v>13</v>
      </c>
    </row>
    <row r="31" spans="24:35" ht="12.75" hidden="1">
      <c r="X31" s="303"/>
      <c r="Y31" s="345" t="s">
        <v>160</v>
      </c>
      <c r="Z31" s="347"/>
      <c r="AA31" s="336" t="s">
        <v>392</v>
      </c>
      <c r="AB31" s="228"/>
      <c r="AC31" s="229">
        <f>LEN(AA31)</f>
        <v>19</v>
      </c>
      <c r="AE31" s="330" t="s">
        <v>161</v>
      </c>
      <c r="AF31" s="618">
        <v>12.24</v>
      </c>
      <c r="AG31" s="525"/>
      <c r="AH31" s="620"/>
      <c r="AI31" s="5" t="s">
        <v>160</v>
      </c>
    </row>
    <row r="32" spans="24:35" ht="12.75" hidden="1">
      <c r="X32" s="303"/>
      <c r="Y32" s="345" t="s">
        <v>162</v>
      </c>
      <c r="Z32" s="347"/>
      <c r="AA32" s="336" t="s">
        <v>393</v>
      </c>
      <c r="AB32" s="228"/>
      <c r="AC32" s="229">
        <f t="shared" si="0"/>
        <v>16</v>
      </c>
      <c r="AE32" s="330" t="s">
        <v>163</v>
      </c>
      <c r="AF32" s="618">
        <v>6</v>
      </c>
      <c r="AG32" s="551">
        <v>260</v>
      </c>
      <c r="AH32" s="552">
        <v>490</v>
      </c>
      <c r="AI32" s="5" t="s">
        <v>162</v>
      </c>
    </row>
    <row r="33" spans="24:35" ht="12.75" hidden="1">
      <c r="X33" s="303"/>
      <c r="Y33" s="344" t="s">
        <v>320</v>
      </c>
      <c r="Z33" s="348"/>
      <c r="AA33" s="337" t="s">
        <v>394</v>
      </c>
      <c r="AB33" s="228"/>
      <c r="AC33" s="229">
        <f t="shared" si="0"/>
        <v>11</v>
      </c>
      <c r="AE33" s="331" t="s">
        <v>321</v>
      </c>
      <c r="AF33" s="618"/>
      <c r="AG33" s="525"/>
      <c r="AH33" s="620"/>
      <c r="AI33" s="5" t="s">
        <v>320</v>
      </c>
    </row>
    <row r="34" spans="24:34" ht="12.75" hidden="1">
      <c r="X34" s="303"/>
      <c r="Y34" s="228"/>
      <c r="Z34" s="228"/>
      <c r="AA34" s="330" t="s">
        <v>5</v>
      </c>
      <c r="AB34" s="228"/>
      <c r="AC34" s="229"/>
      <c r="AE34" s="330"/>
      <c r="AF34" s="618"/>
      <c r="AG34" s="525"/>
      <c r="AH34" s="620"/>
    </row>
    <row r="35" spans="24:36" ht="12.75" hidden="1">
      <c r="X35" s="303"/>
      <c r="Y35" s="230" t="str">
        <f>IF(OR('общие сведения'!L41=""),"Ошибка !",VLOOKUP('общие сведения'!L41,Y1:AB34,3))</f>
        <v>ПЕДАГОГА-ПСИХОЛОГА</v>
      </c>
      <c r="Z35" s="231"/>
      <c r="AA35" s="232">
        <f>LEN(Y35)</f>
        <v>18</v>
      </c>
      <c r="AB35" s="233"/>
      <c r="AC35" s="415" t="str">
        <f>IF(AC37="","-",IF(VLOOKUP(AC37,Y2:Z34,2)="v","Специализация","."))</f>
        <v>.</v>
      </c>
      <c r="AE35" s="230" t="str">
        <f>VLOOKUP('общие сведения'!L41,Y1:AE34,7)</f>
        <v>педагога-психолога</v>
      </c>
      <c r="AG35" s="625">
        <f>VLOOKUP('общие сведения'!L41,Y1:AH34,9)</f>
        <v>0</v>
      </c>
      <c r="AH35" s="625">
        <f>VLOOKUP('общие сведения'!L41,Y1:AH34,10)</f>
        <v>0</v>
      </c>
      <c r="AI35" s="626"/>
      <c r="AJ35" s="627">
        <f>VLOOKUP('общие сведения'!L41,Y1:AH34,8)</f>
        <v>0</v>
      </c>
    </row>
    <row r="36" spans="24:36" ht="12.75" hidden="1">
      <c r="X36" s="303"/>
      <c r="Y36" s="234">
        <f>IF(ISERR(SEARCH(LEFT(Y35,5),D52)),0,1)</f>
        <v>0</v>
      </c>
      <c r="Z36" s="986"/>
      <c r="AA36" s="986"/>
      <c r="AB36" s="235"/>
      <c r="AC36" s="229"/>
      <c r="AG36" s="628" t="s">
        <v>2</v>
      </c>
      <c r="AH36" s="628" t="s">
        <v>3</v>
      </c>
      <c r="AI36" s="287"/>
      <c r="AJ36" s="629" t="s">
        <v>630</v>
      </c>
    </row>
    <row r="37" spans="24:32" ht="12.75" hidden="1">
      <c r="X37" s="303"/>
      <c r="Y37" s="228" t="str">
        <f>IF(AND(AA35&lt;31,Y36=1),Y35,AE35)</f>
        <v>педагога-психолога</v>
      </c>
      <c r="Z37" s="310"/>
      <c r="AA37" s="310"/>
      <c r="AB37" s="311"/>
      <c r="AC37" s="459" t="str">
        <f>'общие сведения'!B41</f>
        <v>педагог-психолог</v>
      </c>
      <c r="AF37" s="618"/>
    </row>
    <row r="38" spans="24:29" ht="12.75" hidden="1">
      <c r="X38" s="303"/>
      <c r="Y38" s="228"/>
      <c r="Z38" s="310"/>
      <c r="AA38" s="310"/>
      <c r="AB38" s="311"/>
      <c r="AC38" s="178"/>
    </row>
    <row r="39" spans="24:29" ht="12.75" hidden="1">
      <c r="X39" s="303"/>
      <c r="Y39" s="228"/>
      <c r="Z39" s="310"/>
      <c r="AA39" s="310"/>
      <c r="AB39" s="311"/>
      <c r="AC39" s="178"/>
    </row>
    <row r="40" spans="1:24" ht="15" customHeight="1">
      <c r="A40" s="988" t="s">
        <v>180</v>
      </c>
      <c r="B40" s="988"/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367"/>
    </row>
    <row r="41" spans="1:34" ht="3" customHeight="1">
      <c r="A41" s="988"/>
      <c r="B41" s="988"/>
      <c r="C41" s="988"/>
      <c r="D41" s="988"/>
      <c r="E41" s="988"/>
      <c r="F41" s="988"/>
      <c r="G41" s="988"/>
      <c r="H41" s="988"/>
      <c r="I41" s="988"/>
      <c r="J41" s="988"/>
      <c r="K41" s="988"/>
      <c r="L41" s="988"/>
      <c r="M41" s="988"/>
      <c r="N41" s="988"/>
      <c r="O41" s="988"/>
      <c r="P41" s="988"/>
      <c r="Q41" s="988"/>
      <c r="R41" s="988"/>
      <c r="S41" s="988"/>
      <c r="T41" s="988"/>
      <c r="U41" s="988"/>
      <c r="V41" s="988"/>
      <c r="W41" s="988"/>
      <c r="X41" s="367"/>
      <c r="AH41" s="367"/>
    </row>
    <row r="42" spans="1:34" ht="15" customHeight="1">
      <c r="A42" s="987" t="s">
        <v>641</v>
      </c>
      <c r="B42" s="987"/>
      <c r="C42" s="987"/>
      <c r="D42" s="987"/>
      <c r="E42" s="987"/>
      <c r="F42" s="987"/>
      <c r="G42" s="987"/>
      <c r="H42" s="987"/>
      <c r="I42" s="987"/>
      <c r="J42" s="987"/>
      <c r="K42" s="987"/>
      <c r="L42" s="987"/>
      <c r="M42" s="987"/>
      <c r="N42" s="987"/>
      <c r="O42" s="987"/>
      <c r="P42" s="987"/>
      <c r="Q42" s="987"/>
      <c r="R42" s="987"/>
      <c r="S42" s="987"/>
      <c r="T42" s="987"/>
      <c r="U42" s="987"/>
      <c r="V42" s="987"/>
      <c r="W42" s="987"/>
      <c r="X42" s="460" t="str">
        <f>'общие сведения'!T1</f>
        <v> ЭЗ - 05. 2021 г.</v>
      </c>
      <c r="Y42" s="57"/>
      <c r="AH42" s="367"/>
    </row>
    <row r="43" spans="1:34" ht="12.75">
      <c r="A43" s="987"/>
      <c r="B43" s="987"/>
      <c r="C43" s="987"/>
      <c r="D43" s="987"/>
      <c r="E43" s="987"/>
      <c r="F43" s="987"/>
      <c r="G43" s="987"/>
      <c r="H43" s="987"/>
      <c r="I43" s="987"/>
      <c r="J43" s="987"/>
      <c r="K43" s="987"/>
      <c r="L43" s="987"/>
      <c r="M43" s="987"/>
      <c r="N43" s="987"/>
      <c r="O43" s="987"/>
      <c r="P43" s="987"/>
      <c r="Q43" s="987"/>
      <c r="R43" s="987"/>
      <c r="S43" s="987"/>
      <c r="T43" s="987"/>
      <c r="U43" s="987"/>
      <c r="V43" s="987"/>
      <c r="W43" s="987"/>
      <c r="X43" s="677" t="str">
        <f>'общие сведения'!T2</f>
        <v># 7</v>
      </c>
      <c r="AH43" s="367"/>
    </row>
    <row r="44" spans="1:34" ht="12.75">
      <c r="A44" s="987"/>
      <c r="B44" s="987"/>
      <c r="C44" s="987"/>
      <c r="D44" s="987"/>
      <c r="E44" s="987"/>
      <c r="F44" s="987"/>
      <c r="G44" s="987"/>
      <c r="H44" s="987"/>
      <c r="I44" s="987"/>
      <c r="J44" s="987"/>
      <c r="K44" s="987"/>
      <c r="L44" s="987"/>
      <c r="M44" s="987"/>
      <c r="N44" s="987"/>
      <c r="O44" s="987"/>
      <c r="P44" s="987"/>
      <c r="Q44" s="987"/>
      <c r="R44" s="987"/>
      <c r="S44" s="987"/>
      <c r="T44" s="987"/>
      <c r="U44" s="987"/>
      <c r="V44" s="987"/>
      <c r="W44" s="987"/>
      <c r="X44" s="445" t="str">
        <f>"  для педагога-психолога  "&amp;'общие сведения'!Q12</f>
        <v>  для педагога-психолога  ДОД</v>
      </c>
      <c r="AH44" s="367"/>
    </row>
    <row r="45" spans="1:34" ht="18" customHeight="1">
      <c r="A45" s="993" t="s">
        <v>181</v>
      </c>
      <c r="B45" s="993"/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445" t="str">
        <f>'общие сведения'!B29</f>
        <v>  без учета мониторингов системы образования</v>
      </c>
      <c r="AH45" s="367"/>
    </row>
    <row r="46" spans="1:34" ht="6.75" customHeight="1">
      <c r="A46" s="993"/>
      <c r="B46" s="993"/>
      <c r="C46" s="993"/>
      <c r="D46" s="993"/>
      <c r="E46" s="993"/>
      <c r="F46" s="993"/>
      <c r="G46" s="993"/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3"/>
      <c r="T46" s="993"/>
      <c r="U46" s="993"/>
      <c r="V46" s="993"/>
      <c r="W46" s="993"/>
      <c r="X46" s="445"/>
      <c r="AH46" s="367"/>
    </row>
    <row r="47" spans="1:34" ht="12.75">
      <c r="A47" s="169" t="s">
        <v>9</v>
      </c>
      <c r="E47" s="989">
        <f>'общие сведения'!L33</f>
      </c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445"/>
      <c r="AH47" s="367"/>
    </row>
    <row r="48" spans="1:34" ht="12.75">
      <c r="A48" s="169" t="s">
        <v>11</v>
      </c>
      <c r="C48" s="990">
        <f>IF(FIO="","",'общие сведения'!L37)</f>
      </c>
      <c r="D48" s="990"/>
      <c r="E48" s="990"/>
      <c r="F48" s="990"/>
      <c r="G48" s="990"/>
      <c r="H48" s="990"/>
      <c r="I48" s="990"/>
      <c r="J48" s="990"/>
      <c r="K48" s="990"/>
      <c r="L48" s="990"/>
      <c r="M48" s="990"/>
      <c r="N48" s="990"/>
      <c r="O48" s="990"/>
      <c r="P48" s="990"/>
      <c r="Q48" s="990"/>
      <c r="R48" s="990"/>
      <c r="S48" s="990"/>
      <c r="T48" s="990"/>
      <c r="U48" s="990"/>
      <c r="V48" s="990"/>
      <c r="W48" s="990"/>
      <c r="X48" s="445"/>
      <c r="AH48" s="367"/>
    </row>
    <row r="49" spans="1:34" ht="12.75" customHeight="1">
      <c r="A49" s="990">
        <f>IF(FIO="","",'общие сведения'!L38)</f>
      </c>
      <c r="B49" s="990"/>
      <c r="C49" s="990"/>
      <c r="D49" s="990"/>
      <c r="E49" s="990"/>
      <c r="F49" s="990"/>
      <c r="G49" s="990"/>
      <c r="H49" s="990"/>
      <c r="I49" s="990"/>
      <c r="J49" s="990"/>
      <c r="K49" s="990"/>
      <c r="L49" s="990"/>
      <c r="M49" s="990"/>
      <c r="N49" s="990"/>
      <c r="O49" s="990"/>
      <c r="P49" s="990"/>
      <c r="Q49" s="990"/>
      <c r="R49" s="990"/>
      <c r="S49" s="990"/>
      <c r="T49" s="990"/>
      <c r="U49" s="990"/>
      <c r="V49" s="990"/>
      <c r="W49" s="990"/>
      <c r="X49" s="445"/>
      <c r="AH49" s="367"/>
    </row>
    <row r="50" spans="1:34" ht="12.75">
      <c r="A50" s="990">
        <f>IF(FIO="","",'общие сведения'!L39)</f>
      </c>
      <c r="B50" s="990"/>
      <c r="C50" s="990"/>
      <c r="D50" s="990"/>
      <c r="E50" s="990"/>
      <c r="F50" s="990"/>
      <c r="G50" s="990"/>
      <c r="H50" s="990"/>
      <c r="I50" s="990"/>
      <c r="J50" s="990"/>
      <c r="K50" s="990"/>
      <c r="L50" s="990"/>
      <c r="M50" s="990"/>
      <c r="N50" s="990"/>
      <c r="O50" s="990"/>
      <c r="P50" s="990"/>
      <c r="Q50" s="990"/>
      <c r="R50" s="990"/>
      <c r="S50" s="990"/>
      <c r="T50" s="990"/>
      <c r="U50" s="990"/>
      <c r="V50" s="990"/>
      <c r="W50" s="990"/>
      <c r="X50" s="445"/>
      <c r="AH50" s="367"/>
    </row>
    <row r="51" spans="1:34" ht="12.75">
      <c r="A51" s="169" t="s">
        <v>10</v>
      </c>
      <c r="E51" s="246">
        <f>IF(FIO="","",'общие сведения'!L35)</f>
      </c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445"/>
      <c r="AH51" s="367"/>
    </row>
    <row r="52" spans="1:34" ht="12.75" customHeight="1">
      <c r="A52" s="169" t="s">
        <v>12</v>
      </c>
      <c r="D52" s="214">
        <f>IF(FIO="","",'общие сведения'!L41)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45"/>
      <c r="AH52" s="367"/>
    </row>
    <row r="53" spans="1:34" ht="12.75" customHeight="1">
      <c r="A53" s="169" t="s">
        <v>182</v>
      </c>
      <c r="D53" s="214">
        <f>IF(FIO="","",'общие сведения'!L42)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45"/>
      <c r="AH53" s="367"/>
    </row>
    <row r="54" spans="1:34" ht="12.75">
      <c r="A54" s="169" t="s">
        <v>14</v>
      </c>
      <c r="E54" s="240">
        <f>IF(FIO="","",'общие сведения'!D47)</f>
      </c>
      <c r="F54" s="240">
        <f>IF(FIO="","",'общие сведения'!E47)</f>
      </c>
      <c r="G54" s="246"/>
      <c r="H54" s="211"/>
      <c r="I54" s="173"/>
      <c r="J54" s="173"/>
      <c r="X54" s="445"/>
      <c r="AH54" s="367"/>
    </row>
    <row r="55" spans="1:34" ht="12.75">
      <c r="A55" s="169" t="s">
        <v>15</v>
      </c>
      <c r="G55" s="980">
        <f>IF(OR(FIO="",'общие сведения'!D49=""),"",'общие сведения'!D49)</f>
      </c>
      <c r="H55" s="980"/>
      <c r="I55" s="170"/>
      <c r="J55" s="170"/>
      <c r="K55" s="992" t="s">
        <v>16</v>
      </c>
      <c r="L55" s="992"/>
      <c r="M55" s="992"/>
      <c r="N55" s="992"/>
      <c r="O55" s="992"/>
      <c r="P55" s="991">
        <f>'общие сведения'!K49</f>
      </c>
      <c r="Q55" s="991"/>
      <c r="R55" s="991"/>
      <c r="S55" s="991"/>
      <c r="X55" s="445"/>
      <c r="AH55" s="367"/>
    </row>
    <row r="56" spans="1:34" ht="12.75">
      <c r="A56" s="169" t="s">
        <v>18</v>
      </c>
      <c r="G56" s="980">
        <f>IF(OR(FIO="",'общие сведения'!D51=""),"",'общие сведения'!D51)</f>
      </c>
      <c r="H56" s="980"/>
      <c r="I56" s="170"/>
      <c r="J56" s="170"/>
      <c r="X56" s="445"/>
      <c r="AH56" s="367"/>
    </row>
    <row r="57" spans="1:34" ht="12.75">
      <c r="A57" s="169" t="s">
        <v>19</v>
      </c>
      <c r="C57" s="214">
        <f>IF(FIO="","",'общие сведения'!B53)</f>
      </c>
      <c r="D57" s="211"/>
      <c r="E57" s="211"/>
      <c r="F57" s="211"/>
      <c r="G57" s="211"/>
      <c r="H57" s="211"/>
      <c r="I57" s="173"/>
      <c r="J57" s="173"/>
      <c r="X57" s="445"/>
      <c r="Z57" s="382"/>
      <c r="AH57" s="367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45"/>
      <c r="AH58" s="367"/>
    </row>
    <row r="59" spans="1:34" ht="12.75" customHeight="1">
      <c r="A59" s="981">
        <f>IF(FIO="","",CLEAN('общие сведения'!L56&amp;" "&amp;'общие сведения'!L60&amp;" "&amp;'общие сведения'!L64))</f>
      </c>
      <c r="B59" s="981"/>
      <c r="C59" s="981"/>
      <c r="D59" s="981"/>
      <c r="E59" s="981"/>
      <c r="F59" s="981"/>
      <c r="G59" s="981"/>
      <c r="H59" s="981"/>
      <c r="I59" s="981"/>
      <c r="J59" s="981"/>
      <c r="K59" s="981"/>
      <c r="L59" s="981"/>
      <c r="M59" s="981"/>
      <c r="N59" s="981"/>
      <c r="O59" s="981"/>
      <c r="P59" s="981"/>
      <c r="Q59" s="981"/>
      <c r="R59" s="981"/>
      <c r="S59" s="981"/>
      <c r="T59" s="981"/>
      <c r="U59" s="981"/>
      <c r="V59" s="981"/>
      <c r="W59" s="981"/>
      <c r="X59" s="445"/>
      <c r="Y59" s="352"/>
      <c r="Z59" s="358"/>
      <c r="AH59" s="367"/>
    </row>
    <row r="60" spans="1:34" ht="12.75" customHeight="1">
      <c r="A60" s="981"/>
      <c r="B60" s="981"/>
      <c r="C60" s="981"/>
      <c r="D60" s="981"/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445"/>
      <c r="Y60" s="352"/>
      <c r="Z60" s="358"/>
      <c r="AH60" s="367"/>
    </row>
    <row r="61" spans="1:34" ht="12.75" customHeight="1">
      <c r="A61" s="981"/>
      <c r="B61" s="981"/>
      <c r="C61" s="981"/>
      <c r="D61" s="981"/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445"/>
      <c r="Y61" s="352"/>
      <c r="Z61" s="358"/>
      <c r="AH61" s="367"/>
    </row>
    <row r="62" spans="1:34" ht="12.75" customHeight="1">
      <c r="A62" s="981"/>
      <c r="B62" s="981"/>
      <c r="C62" s="981"/>
      <c r="D62" s="981"/>
      <c r="E62" s="981"/>
      <c r="F62" s="981"/>
      <c r="G62" s="981"/>
      <c r="H62" s="981"/>
      <c r="I62" s="981"/>
      <c r="J62" s="981"/>
      <c r="K62" s="981"/>
      <c r="L62" s="981"/>
      <c r="M62" s="981"/>
      <c r="N62" s="981"/>
      <c r="O62" s="981"/>
      <c r="P62" s="981"/>
      <c r="Q62" s="981"/>
      <c r="R62" s="981"/>
      <c r="S62" s="981"/>
      <c r="T62" s="981"/>
      <c r="U62" s="981"/>
      <c r="V62" s="981"/>
      <c r="W62" s="981"/>
      <c r="X62" s="445"/>
      <c r="Y62" s="383"/>
      <c r="Z62" s="384"/>
      <c r="AH62" s="367"/>
    </row>
    <row r="63" spans="1:65" ht="12.75">
      <c r="A63" s="981"/>
      <c r="B63" s="981"/>
      <c r="C63" s="981"/>
      <c r="D63" s="981"/>
      <c r="E63" s="981"/>
      <c r="F63" s="981"/>
      <c r="G63" s="981"/>
      <c r="H63" s="981"/>
      <c r="I63" s="981"/>
      <c r="J63" s="981"/>
      <c r="K63" s="981"/>
      <c r="L63" s="981"/>
      <c r="M63" s="981"/>
      <c r="N63" s="981"/>
      <c r="O63" s="981"/>
      <c r="P63" s="981"/>
      <c r="Q63" s="981"/>
      <c r="R63" s="981"/>
      <c r="S63" s="981"/>
      <c r="T63" s="981"/>
      <c r="U63" s="981"/>
      <c r="V63" s="981"/>
      <c r="W63" s="981"/>
      <c r="X63" s="445"/>
      <c r="Y63" s="217"/>
      <c r="Z63" s="217"/>
      <c r="AA63" s="217"/>
      <c r="AB63" s="217"/>
      <c r="AC63" s="217"/>
      <c r="AD63" s="217"/>
      <c r="AE63" s="217"/>
      <c r="AF63" s="217"/>
      <c r="AG63" s="217"/>
      <c r="AH63" s="36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183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45"/>
      <c r="Y64" s="217"/>
      <c r="Z64" s="217"/>
      <c r="AA64" s="217"/>
      <c r="AB64" s="217"/>
      <c r="AC64" s="217"/>
      <c r="AD64" s="217"/>
      <c r="AE64" s="217"/>
      <c r="AF64" s="217"/>
      <c r="AG64" s="217"/>
      <c r="AH64" s="36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сведения'!A80</f>
        <v>Курсы повышения квалификации</v>
      </c>
      <c r="B65" s="217"/>
      <c r="C65" s="217"/>
      <c r="D65" s="217"/>
      <c r="E65" s="217"/>
      <c r="F65" s="217"/>
      <c r="G65" s="217"/>
      <c r="K65" s="983">
        <f>IF(FIO="","",'общие сведения'!G80)</f>
      </c>
      <c r="L65" s="983"/>
      <c r="M65" s="169" t="s">
        <v>184</v>
      </c>
      <c r="N65" s="318"/>
      <c r="T65" s="177"/>
      <c r="U65" s="177"/>
      <c r="V65" s="177"/>
      <c r="W65" s="217"/>
      <c r="X65" s="445"/>
      <c r="Y65" s="217"/>
      <c r="Z65" s="217"/>
      <c r="AA65" s="217"/>
      <c r="AB65" s="217"/>
      <c r="AC65" s="217"/>
      <c r="AD65" s="217"/>
      <c r="AE65" s="217"/>
      <c r="AF65" s="217"/>
      <c r="AG65" s="217"/>
      <c r="AH65" s="36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сведения'!M73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45"/>
      <c r="Y66" s="217"/>
      <c r="Z66" s="217"/>
      <c r="AA66" s="217"/>
      <c r="AB66" s="217"/>
      <c r="AC66" s="217"/>
      <c r="AD66" s="217"/>
      <c r="AE66" s="217"/>
      <c r="AF66" s="217"/>
      <c r="AG66" s="217"/>
      <c r="AH66" s="36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81">
        <f>IF(FIO="","",CLEAN('общие сведения'!L75))</f>
      </c>
      <c r="B67" s="981"/>
      <c r="C67" s="981"/>
      <c r="D67" s="981"/>
      <c r="E67" s="981"/>
      <c r="F67" s="981"/>
      <c r="G67" s="981"/>
      <c r="H67" s="981"/>
      <c r="I67" s="981"/>
      <c r="J67" s="981"/>
      <c r="K67" s="981"/>
      <c r="L67" s="981"/>
      <c r="M67" s="981"/>
      <c r="N67" s="981"/>
      <c r="O67" s="981"/>
      <c r="P67" s="981"/>
      <c r="Q67" s="981"/>
      <c r="R67" s="981"/>
      <c r="S67" s="981"/>
      <c r="T67" s="981"/>
      <c r="U67" s="981"/>
      <c r="V67" s="981"/>
      <c r="W67" s="981"/>
      <c r="X67" s="445"/>
      <c r="AH67" s="367"/>
    </row>
    <row r="68" spans="1:34" ht="12.75" customHeight="1">
      <c r="A68" s="981"/>
      <c r="B68" s="981"/>
      <c r="C68" s="981"/>
      <c r="D68" s="981"/>
      <c r="E68" s="981"/>
      <c r="F68" s="981"/>
      <c r="G68" s="981"/>
      <c r="H68" s="981"/>
      <c r="I68" s="981"/>
      <c r="J68" s="981"/>
      <c r="K68" s="981"/>
      <c r="L68" s="981"/>
      <c r="M68" s="981"/>
      <c r="N68" s="981"/>
      <c r="O68" s="981"/>
      <c r="P68" s="981"/>
      <c r="Q68" s="981"/>
      <c r="R68" s="981"/>
      <c r="S68" s="981"/>
      <c r="T68" s="981"/>
      <c r="U68" s="981"/>
      <c r="V68" s="981"/>
      <c r="W68" s="981"/>
      <c r="X68" s="445"/>
      <c r="AH68" s="367"/>
    </row>
    <row r="69" spans="1:34" ht="12.75" customHeight="1">
      <c r="A69" s="981"/>
      <c r="B69" s="981"/>
      <c r="C69" s="981"/>
      <c r="D69" s="981"/>
      <c r="E69" s="981"/>
      <c r="F69" s="981"/>
      <c r="G69" s="981"/>
      <c r="H69" s="981"/>
      <c r="I69" s="981"/>
      <c r="J69" s="981"/>
      <c r="K69" s="981"/>
      <c r="L69" s="981"/>
      <c r="M69" s="981"/>
      <c r="N69" s="981"/>
      <c r="O69" s="981"/>
      <c r="P69" s="981"/>
      <c r="Q69" s="981"/>
      <c r="R69" s="981"/>
      <c r="S69" s="981"/>
      <c r="T69" s="981"/>
      <c r="U69" s="981"/>
      <c r="V69" s="981"/>
      <c r="W69" s="981"/>
      <c r="X69" s="445"/>
      <c r="AH69" s="367"/>
    </row>
    <row r="70" spans="1:34" ht="12.75" customHeight="1">
      <c r="A70" s="981"/>
      <c r="B70" s="981"/>
      <c r="C70" s="981"/>
      <c r="D70" s="981"/>
      <c r="E70" s="981"/>
      <c r="F70" s="981"/>
      <c r="G70" s="981"/>
      <c r="H70" s="981"/>
      <c r="I70" s="981"/>
      <c r="J70" s="981"/>
      <c r="K70" s="981"/>
      <c r="L70" s="981"/>
      <c r="M70" s="981"/>
      <c r="N70" s="981"/>
      <c r="O70" s="981"/>
      <c r="P70" s="981"/>
      <c r="Q70" s="981"/>
      <c r="R70" s="981"/>
      <c r="S70" s="981"/>
      <c r="T70" s="981"/>
      <c r="U70" s="981"/>
      <c r="V70" s="981"/>
      <c r="W70" s="981"/>
      <c r="X70" s="445"/>
      <c r="AH70" s="367"/>
    </row>
    <row r="71" spans="1:34" ht="21" customHeight="1">
      <c r="A71" s="175" t="s">
        <v>185</v>
      </c>
      <c r="X71" s="445"/>
      <c r="AD71" s="358" t="str">
        <f>'общие сведения'!O10</f>
        <v>порог для __первая__ для ДОД  без учета мониторингов системы образования</v>
      </c>
      <c r="AH71" s="367"/>
    </row>
    <row r="72" spans="1:34" ht="12.75">
      <c r="A72" s="982" t="s">
        <v>186</v>
      </c>
      <c r="B72" s="982"/>
      <c r="C72" s="982"/>
      <c r="D72" s="982"/>
      <c r="E72" s="982"/>
      <c r="F72" s="982"/>
      <c r="G72" s="982"/>
      <c r="H72" s="982"/>
      <c r="I72" s="982"/>
      <c r="J72" s="982"/>
      <c r="K72" s="982"/>
      <c r="L72" s="982"/>
      <c r="M72" s="982"/>
      <c r="N72" s="982"/>
      <c r="O72" s="982"/>
      <c r="P72" s="982"/>
      <c r="Q72" s="982"/>
      <c r="R72" s="982"/>
      <c r="S72" s="982"/>
      <c r="T72" s="982"/>
      <c r="U72" s="982"/>
      <c r="V72" s="982"/>
      <c r="W72" s="982"/>
      <c r="X72" s="445"/>
      <c r="AB72" s="352" t="s">
        <v>405</v>
      </c>
      <c r="AC72" s="5">
        <f>z_kateg</f>
      </c>
      <c r="AD72" s="287">
        <f>'общие сведения'!P10</f>
        <v>280</v>
      </c>
      <c r="AH72" s="367"/>
    </row>
    <row r="73" spans="1:34" ht="12.75">
      <c r="A73" s="982"/>
      <c r="B73" s="982"/>
      <c r="C73" s="982"/>
      <c r="D73" s="982"/>
      <c r="E73" s="982"/>
      <c r="F73" s="982"/>
      <c r="G73" s="982"/>
      <c r="H73" s="982"/>
      <c r="I73" s="982"/>
      <c r="J73" s="982"/>
      <c r="K73" s="982"/>
      <c r="L73" s="982"/>
      <c r="M73" s="982"/>
      <c r="N73" s="982"/>
      <c r="O73" s="982"/>
      <c r="P73" s="982"/>
      <c r="Q73" s="982"/>
      <c r="R73" s="982"/>
      <c r="S73" s="982"/>
      <c r="T73" s="982"/>
      <c r="U73" s="982"/>
      <c r="V73" s="982"/>
      <c r="W73" s="982"/>
      <c r="X73" s="445"/>
      <c r="AB73" s="352" t="str">
        <f>AB161</f>
        <v>наличие внешних мониторингов </v>
      </c>
      <c r="AC73" s="5" t="str">
        <f>AB162</f>
        <v>нет</v>
      </c>
      <c r="AH73" s="367"/>
    </row>
    <row r="74" spans="1:34" ht="12.75">
      <c r="A74" s="982"/>
      <c r="B74" s="982"/>
      <c r="C74" s="982"/>
      <c r="D74" s="982"/>
      <c r="E74" s="982"/>
      <c r="F74" s="982"/>
      <c r="G74" s="982"/>
      <c r="H74" s="982"/>
      <c r="I74" s="982"/>
      <c r="J74" s="982"/>
      <c r="K74" s="982"/>
      <c r="L74" s="982"/>
      <c r="M74" s="982"/>
      <c r="N74" s="982"/>
      <c r="O74" s="982"/>
      <c r="P74" s="982"/>
      <c r="Q74" s="982"/>
      <c r="R74" s="982"/>
      <c r="S74" s="982"/>
      <c r="T74" s="982"/>
      <c r="U74" s="982"/>
      <c r="V74" s="982"/>
      <c r="W74" s="982"/>
      <c r="X74" s="445"/>
      <c r="AH74" s="367"/>
    </row>
    <row r="75" spans="1:65" ht="12.75" customHeight="1">
      <c r="A75" s="169" t="s">
        <v>187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45"/>
      <c r="Y75" s="179"/>
      <c r="Z75" s="251"/>
      <c r="AB75" s="251" t="s">
        <v>208</v>
      </c>
      <c r="AC75" s="671" t="s">
        <v>278</v>
      </c>
      <c r="AD75" s="286"/>
      <c r="AE75" s="676" t="s">
        <v>399</v>
      </c>
      <c r="AH75" s="367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188</v>
      </c>
      <c r="B76" s="169" t="str">
        <f>B112</f>
        <v>Продуктивность психолого-педагогической деятельности</v>
      </c>
      <c r="T76" s="139"/>
      <c r="U76" s="245">
        <f>IF(FIO="","",итого_1)</f>
      </c>
      <c r="V76" s="141"/>
      <c r="W76" s="174" t="s">
        <v>189</v>
      </c>
      <c r="X76" s="445"/>
      <c r="Z76" s="351" t="s">
        <v>400</v>
      </c>
      <c r="AB76" s="269">
        <f>AB112</f>
        <v>100</v>
      </c>
      <c r="AC76" s="669">
        <f>AC112</f>
        <v>60</v>
      </c>
      <c r="AD76" s="670"/>
      <c r="AE76" s="671" t="b">
        <f>U76&gt;=AC76</f>
        <v>1</v>
      </c>
      <c r="AF76" s="640">
        <f>IF(AG76&gt;=AC76,1,0)</f>
        <v>0</v>
      </c>
      <c r="AH76" s="367"/>
    </row>
    <row r="77" spans="1:34" ht="12.75">
      <c r="A77" s="247" t="s">
        <v>190</v>
      </c>
      <c r="B77" s="169" t="str">
        <f>B165</f>
        <v>Продуктивность деятельности педагогического работника по развитию 
обучающихся/воспитанников</v>
      </c>
      <c r="T77" s="139"/>
      <c r="U77" s="241">
        <f>IF(FIO="","",итого_2)</f>
      </c>
      <c r="V77" s="316"/>
      <c r="W77" s="174" t="s">
        <v>189</v>
      </c>
      <c r="X77" s="445"/>
      <c r="Z77" s="351" t="s">
        <v>401</v>
      </c>
      <c r="AB77" s="269">
        <f>AB165</f>
        <v>420</v>
      </c>
      <c r="AC77" s="669">
        <f>AC165</f>
        <v>0</v>
      </c>
      <c r="AD77" s="670"/>
      <c r="AE77" s="671" t="b">
        <f>U77&gt;=AC77</f>
        <v>1</v>
      </c>
      <c r="AF77" s="640">
        <f>IF(AG77&gt;=AC77,1,0)</f>
        <v>1</v>
      </c>
      <c r="AH77" s="367"/>
    </row>
    <row r="78" spans="1:34" ht="12.75">
      <c r="A78" s="247" t="s">
        <v>191</v>
      </c>
      <c r="B78" s="169" t="str">
        <f>B334</f>
        <v>Продуктивность личного вклада педагогического работника в повышение качества образования</v>
      </c>
      <c r="T78" s="139"/>
      <c r="U78" s="242">
        <f>IF(FIO="","",итого_3)</f>
      </c>
      <c r="V78" s="316"/>
      <c r="W78" s="174" t="s">
        <v>189</v>
      </c>
      <c r="X78" s="445"/>
      <c r="Z78" s="351" t="s">
        <v>402</v>
      </c>
      <c r="AB78" s="269">
        <f>AB335</f>
        <v>990</v>
      </c>
      <c r="AC78" s="669">
        <f>AC335</f>
        <v>130</v>
      </c>
      <c r="AD78" s="670"/>
      <c r="AE78" s="671" t="b">
        <f>U78&gt;=AC78</f>
        <v>1</v>
      </c>
      <c r="AF78" s="640">
        <f>IF(AG78&gt;=AC78,1,0)</f>
        <v>0</v>
      </c>
      <c r="AH78" s="367"/>
    </row>
    <row r="79" spans="1:34" ht="12.75">
      <c r="A79" s="247" t="s">
        <v>192</v>
      </c>
      <c r="B79" s="169" t="str">
        <f>B524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39"/>
      <c r="U79" s="242">
        <f>IF(FIO="","",итого_4)</f>
      </c>
      <c r="V79" s="316"/>
      <c r="W79" s="174" t="s">
        <v>189</v>
      </c>
      <c r="X79" s="445"/>
      <c r="Z79" s="351" t="s">
        <v>403</v>
      </c>
      <c r="AB79" s="269">
        <f>AB524</f>
        <v>250</v>
      </c>
      <c r="AC79" s="672">
        <f>AC524</f>
        <v>0</v>
      </c>
      <c r="AD79" s="670"/>
      <c r="AE79" s="671" t="b">
        <f>U79&gt;=AC79</f>
        <v>1</v>
      </c>
      <c r="AF79" s="640">
        <f>IF(AG79&gt;=AC79,1,0)</f>
        <v>1</v>
      </c>
      <c r="AH79" s="367"/>
    </row>
    <row r="80" spans="21:34" ht="3" customHeight="1">
      <c r="U80" s="247"/>
      <c r="V80" s="247"/>
      <c r="W80" s="180"/>
      <c r="X80" s="445"/>
      <c r="AC80" s="640"/>
      <c r="AD80" s="673"/>
      <c r="AE80" s="640"/>
      <c r="AH80" s="367"/>
    </row>
    <row r="81" spans="2:34" ht="12.75">
      <c r="B81" s="222" t="s">
        <v>275</v>
      </c>
      <c r="T81" s="139"/>
      <c r="U81" s="239">
        <f>IF(FIO="","",Всего)</f>
      </c>
      <c r="V81" s="170"/>
      <c r="W81" s="174" t="s">
        <v>189</v>
      </c>
      <c r="X81" s="445"/>
      <c r="Y81" s="361" t="s">
        <v>407</v>
      </c>
      <c r="Z81" s="362">
        <f>IF(FIO="","",SUM(U76:U79))</f>
      </c>
      <c r="AA81" s="5" t="s">
        <v>406</v>
      </c>
      <c r="AB81" s="269">
        <f>SUM(AB76:AB79)</f>
        <v>1760</v>
      </c>
      <c r="AC81" s="669">
        <f>SUM(AC76:AC79)</f>
        <v>190</v>
      </c>
      <c r="AD81" s="674"/>
      <c r="AE81" s="675" t="str">
        <f>IF(AF81&gt;3," СООТВЕТСТВУЕТ","  НЕ СООТВЕТСТВУЕТ")</f>
        <v>  НЕ СООТВЕТСТВУЕТ</v>
      </c>
      <c r="AF81" s="5">
        <f>SUM(AF76:AF80)</f>
        <v>2</v>
      </c>
      <c r="AH81" s="367"/>
    </row>
    <row r="82" spans="23:34" ht="12" customHeight="1">
      <c r="W82" s="179"/>
      <c r="X82" s="445"/>
      <c r="Y82" s="359" t="s">
        <v>483</v>
      </c>
      <c r="Z82" s="360">
        <f>IF(H84="","",IF(Всего&gt;=AD72," СООТВЕТСТВУЕТ","  НЕ СООТВЕТСТВУЕТ"))</f>
      </c>
      <c r="AD82" s="294"/>
      <c r="AE82" s="294"/>
      <c r="AF82" s="294"/>
      <c r="AH82" s="367"/>
    </row>
    <row r="83" spans="1:34" s="168" customFormat="1" ht="12.75">
      <c r="A83" s="332" t="s">
        <v>447</v>
      </c>
      <c r="B83" s="325"/>
      <c r="C83" s="325"/>
      <c r="D83" s="325"/>
      <c r="E83" s="388"/>
      <c r="F83" s="388"/>
      <c r="G83" s="333"/>
      <c r="H83" s="333"/>
      <c r="I83" s="333"/>
      <c r="K83" s="389">
        <f>IF(OR(Всего="",FIO=""),"",Y35&amp;Z82)</f>
      </c>
      <c r="L83" s="333"/>
      <c r="M83" s="333"/>
      <c r="N83" s="333"/>
      <c r="O83" s="333"/>
      <c r="P83" s="338"/>
      <c r="Q83" s="326"/>
      <c r="R83" s="326"/>
      <c r="S83" s="365" t="s">
        <v>448</v>
      </c>
      <c r="V83" s="334"/>
      <c r="X83" s="445"/>
      <c r="Z83" s="360" t="str">
        <f>CONCATENATE(A83,K83,S83)</f>
        <v>Уровень квалификации    требованиям,  </v>
      </c>
      <c r="AG83" s="5"/>
      <c r="AH83" s="367"/>
    </row>
    <row r="84" spans="1:34" s="168" customFormat="1" ht="12.75">
      <c r="A84" s="332" t="s">
        <v>446</v>
      </c>
      <c r="B84" s="325"/>
      <c r="C84" s="325"/>
      <c r="D84" s="325"/>
      <c r="E84" s="325"/>
      <c r="G84" s="363"/>
      <c r="H84" s="240">
        <f>IF(OR(G56="",FIO="",Z81=""),"",IF(G56="первая","первой","высшей"))</f>
      </c>
      <c r="I84" s="246"/>
      <c r="J84" s="246"/>
      <c r="K84" s="335" t="s">
        <v>445</v>
      </c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X84" s="445"/>
      <c r="Z84" s="360" t="str">
        <f>CONCATENATE(A84,H84,K84)</f>
        <v>предъявляемым к заявленной      квалификационной категории. </v>
      </c>
      <c r="AH84" s="367"/>
    </row>
    <row r="85" spans="1:34" s="168" customFormat="1" ht="9.75" customHeight="1">
      <c r="A85" s="257"/>
      <c r="X85" s="445"/>
      <c r="Y85" s="167"/>
      <c r="Z85" s="5"/>
      <c r="AH85" s="367"/>
    </row>
    <row r="86" spans="1:34" s="168" customFormat="1" ht="12.75">
      <c r="A86" s="610" t="s">
        <v>626</v>
      </c>
      <c r="X86" s="445"/>
      <c r="Y86" s="167" t="s">
        <v>256</v>
      </c>
      <c r="Z86" s="367">
        <f>'общие сведения'!A129</f>
      </c>
      <c r="AH86" s="367"/>
    </row>
    <row r="87" spans="1:34" ht="12.75" customHeight="1">
      <c r="A87" s="613"/>
      <c r="B87" s="613"/>
      <c r="C87" s="613"/>
      <c r="D87" s="969">
        <f>IF(OR(FIO="",ISERR(Z86)),"",Z86)</f>
      </c>
      <c r="E87" s="969"/>
      <c r="F87" s="969"/>
      <c r="G87" s="969"/>
      <c r="H87" s="969"/>
      <c r="I87" s="969"/>
      <c r="J87" s="969"/>
      <c r="K87" s="969"/>
      <c r="L87" s="969"/>
      <c r="M87" s="969"/>
      <c r="N87" s="969"/>
      <c r="O87" s="969"/>
      <c r="P87" s="969"/>
      <c r="Q87" s="969"/>
      <c r="R87" s="969"/>
      <c r="S87" s="969"/>
      <c r="T87" s="969"/>
      <c r="U87" s="969"/>
      <c r="V87" s="969"/>
      <c r="W87" s="969"/>
      <c r="X87" s="445"/>
      <c r="AH87" s="367"/>
    </row>
    <row r="88" spans="1:34" ht="12.75" customHeight="1">
      <c r="A88" s="613"/>
      <c r="B88" s="613"/>
      <c r="C88" s="613"/>
      <c r="D88" s="969"/>
      <c r="E88" s="969"/>
      <c r="F88" s="969"/>
      <c r="G88" s="969"/>
      <c r="H88" s="969"/>
      <c r="I88" s="969"/>
      <c r="J88" s="969"/>
      <c r="K88" s="969"/>
      <c r="L88" s="969"/>
      <c r="M88" s="969"/>
      <c r="N88" s="969"/>
      <c r="O88" s="969"/>
      <c r="P88" s="969"/>
      <c r="Q88" s="969"/>
      <c r="R88" s="969"/>
      <c r="S88" s="969"/>
      <c r="T88" s="969"/>
      <c r="U88" s="969"/>
      <c r="V88" s="969"/>
      <c r="W88" s="969"/>
      <c r="X88" s="445"/>
      <c r="AH88" s="367"/>
    </row>
    <row r="89" spans="1:34" ht="3.75" customHeight="1">
      <c r="A89" s="613"/>
      <c r="B89" s="613"/>
      <c r="C89" s="613"/>
      <c r="D89" s="969"/>
      <c r="E89" s="969"/>
      <c r="F89" s="969"/>
      <c r="G89" s="969"/>
      <c r="H89" s="969"/>
      <c r="I89" s="969"/>
      <c r="J89" s="969"/>
      <c r="K89" s="969"/>
      <c r="L89" s="969"/>
      <c r="M89" s="969"/>
      <c r="N89" s="969"/>
      <c r="O89" s="969"/>
      <c r="P89" s="969"/>
      <c r="Q89" s="969"/>
      <c r="R89" s="969"/>
      <c r="S89" s="969"/>
      <c r="T89" s="969"/>
      <c r="U89" s="969"/>
      <c r="V89" s="969"/>
      <c r="W89" s="969"/>
      <c r="X89" s="445"/>
      <c r="AH89" s="367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45"/>
      <c r="AH90" s="367"/>
    </row>
    <row r="91" spans="1:56" ht="15.75" customHeight="1">
      <c r="A91" s="171" t="s">
        <v>50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45"/>
      <c r="Y91" s="181"/>
      <c r="Z91" s="181"/>
      <c r="AA91" s="181"/>
      <c r="AB91" s="181"/>
      <c r="AC91" s="181"/>
      <c r="AD91" s="181"/>
      <c r="AE91" s="181"/>
      <c r="AF91" s="181"/>
      <c r="AG91" s="181"/>
      <c r="AH91" s="367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195</v>
      </c>
      <c r="B92" s="171"/>
      <c r="C92" s="182"/>
      <c r="D92" s="183"/>
      <c r="E92" s="183"/>
      <c r="F92" s="183"/>
      <c r="G92" s="171"/>
      <c r="H92" s="970">
        <f>IF(FIO&lt;&gt;"",IF('общие сведения'!M112&lt;&gt;"",'общие сведения'!M112,""),"")</f>
      </c>
      <c r="I92" s="970"/>
      <c r="J92" s="970"/>
      <c r="K92" s="970"/>
      <c r="L92" s="970"/>
      <c r="M92" s="970"/>
      <c r="N92" s="970"/>
      <c r="O92" s="970"/>
      <c r="P92" s="970"/>
      <c r="Q92" s="970"/>
      <c r="R92" s="970"/>
      <c r="S92" s="970"/>
      <c r="T92" s="970"/>
      <c r="U92" s="970"/>
      <c r="V92" s="970"/>
      <c r="W92" s="970"/>
      <c r="X92" s="445"/>
      <c r="Y92" s="181"/>
      <c r="Z92" s="181"/>
      <c r="AA92" s="181"/>
      <c r="AB92" s="181"/>
      <c r="AC92" s="181"/>
      <c r="AD92" s="181"/>
      <c r="AE92" s="181"/>
      <c r="AF92" s="181"/>
      <c r="AG92" s="181"/>
      <c r="AH92" s="367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276</v>
      </c>
      <c r="B93" s="171"/>
      <c r="C93" s="171"/>
      <c r="D93" s="12"/>
      <c r="E93" s="203"/>
      <c r="F93" s="203"/>
      <c r="G93" s="203"/>
      <c r="H93" s="968" t="s">
        <v>54</v>
      </c>
      <c r="I93" s="968"/>
      <c r="J93" s="968"/>
      <c r="K93" s="968"/>
      <c r="L93" s="968"/>
      <c r="M93" s="968"/>
      <c r="N93" s="968"/>
      <c r="O93" s="968"/>
      <c r="P93" s="968"/>
      <c r="Q93" s="968"/>
      <c r="R93" s="968"/>
      <c r="S93" s="968"/>
      <c r="T93" s="968"/>
      <c r="U93" s="968"/>
      <c r="V93" s="968"/>
      <c r="W93" s="968"/>
      <c r="X93" s="445"/>
      <c r="Y93" s="203"/>
      <c r="Z93" s="203"/>
      <c r="AA93" s="203"/>
      <c r="AB93" s="203"/>
      <c r="AC93" s="203"/>
      <c r="AD93" s="203"/>
      <c r="AE93" s="203"/>
      <c r="AF93" s="203"/>
      <c r="AG93" s="203"/>
      <c r="AH93" s="367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277</v>
      </c>
      <c r="B94" s="171"/>
      <c r="C94" s="171"/>
      <c r="D94" s="183"/>
      <c r="E94" s="183"/>
      <c r="F94" s="183"/>
      <c r="G94" s="171"/>
      <c r="H94" s="970">
        <f>IF(FIO&lt;&gt;"",IF('общие сведения'!M114&lt;&gt;"",'общие сведения'!M114,""),"")</f>
      </c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445"/>
      <c r="AH94" s="367"/>
    </row>
    <row r="95" spans="8:34" ht="13.5">
      <c r="H95" s="968" t="s">
        <v>54</v>
      </c>
      <c r="I95" s="968"/>
      <c r="J95" s="968"/>
      <c r="K95" s="968"/>
      <c r="L95" s="968"/>
      <c r="M95" s="968"/>
      <c r="N95" s="968"/>
      <c r="O95" s="968"/>
      <c r="P95" s="968"/>
      <c r="Q95" s="968"/>
      <c r="R95" s="968"/>
      <c r="S95" s="968"/>
      <c r="T95" s="968"/>
      <c r="U95" s="968"/>
      <c r="V95" s="968"/>
      <c r="W95" s="968"/>
      <c r="X95" s="445"/>
      <c r="AH95" s="367"/>
    </row>
    <row r="96" spans="4:34" ht="12.75">
      <c r="D96" s="139"/>
      <c r="E96" s="139"/>
      <c r="F96" s="139"/>
      <c r="H96" s="970">
        <f>IF(FIO&lt;&gt;"",IF('общие сведения'!M116&lt;&gt;"",'общие сведения'!M116,""),"")</f>
      </c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445"/>
      <c r="AH96" s="367"/>
    </row>
    <row r="97" spans="8:34" ht="13.5">
      <c r="H97" s="984" t="s">
        <v>54</v>
      </c>
      <c r="I97" s="984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4"/>
      <c r="U97" s="984"/>
      <c r="V97" s="984"/>
      <c r="W97" s="984"/>
      <c r="X97" s="445"/>
      <c r="AH97" s="367"/>
    </row>
    <row r="98" spans="4:34" ht="12.75" hidden="1">
      <c r="D98" s="139"/>
      <c r="E98" s="139"/>
      <c r="F98" s="139"/>
      <c r="H98" s="970">
        <f>IF(FIO&lt;&gt;"",IF('общие сведения'!M118&lt;&gt;"",'общие сведения'!M118,""),"")</f>
      </c>
      <c r="I98" s="970"/>
      <c r="J98" s="970"/>
      <c r="K98" s="970"/>
      <c r="L98" s="970"/>
      <c r="M98" s="970"/>
      <c r="N98" s="970"/>
      <c r="O98" s="970"/>
      <c r="P98" s="970"/>
      <c r="Q98" s="970"/>
      <c r="R98" s="970"/>
      <c r="S98" s="970"/>
      <c r="T98" s="970"/>
      <c r="U98" s="970"/>
      <c r="V98" s="970"/>
      <c r="W98" s="970"/>
      <c r="X98" s="445"/>
      <c r="AH98" s="367"/>
    </row>
    <row r="99" spans="8:34" ht="13.5" hidden="1">
      <c r="H99" s="984" t="s">
        <v>54</v>
      </c>
      <c r="I99" s="984"/>
      <c r="J99" s="984"/>
      <c r="K99" s="984"/>
      <c r="L99" s="984"/>
      <c r="M99" s="984"/>
      <c r="N99" s="984"/>
      <c r="O99" s="984"/>
      <c r="P99" s="984"/>
      <c r="Q99" s="984"/>
      <c r="R99" s="984"/>
      <c r="S99" s="984"/>
      <c r="T99" s="984"/>
      <c r="U99" s="984"/>
      <c r="V99" s="984"/>
      <c r="W99" s="984"/>
      <c r="X99" s="445"/>
      <c r="AH99" s="367"/>
    </row>
    <row r="100" spans="2:40" ht="12.75">
      <c r="B100" s="171"/>
      <c r="C100" s="881" t="s">
        <v>196</v>
      </c>
      <c r="D100" s="881"/>
      <c r="E100" s="881"/>
      <c r="F100" s="881"/>
      <c r="G100" s="881"/>
      <c r="H100" s="881"/>
      <c r="I100" s="881"/>
      <c r="J100" s="881"/>
      <c r="K100" s="881"/>
      <c r="L100" s="882" t="str">
        <f>'общие сведения'!K121</f>
        <v>« __ » ___________  20__ г.</v>
      </c>
      <c r="M100" s="882"/>
      <c r="N100" s="882"/>
      <c r="O100" s="882"/>
      <c r="P100" s="882"/>
      <c r="Q100" s="882"/>
      <c r="R100" s="882"/>
      <c r="S100" s="317"/>
      <c r="T100" s="317"/>
      <c r="U100" s="317"/>
      <c r="V100" s="317"/>
      <c r="X100" s="445"/>
      <c r="AH100" s="367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45"/>
      <c r="Y101" s="171"/>
      <c r="Z101" s="171"/>
      <c r="AA101" s="171"/>
      <c r="AH101" s="367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45"/>
      <c r="Y102" s="171"/>
      <c r="Z102" s="171"/>
      <c r="AA102" s="171"/>
      <c r="AH102" s="367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45"/>
      <c r="AH103" s="367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45"/>
      <c r="AH104" s="367"/>
    </row>
    <row r="105" spans="4:34" ht="14.25">
      <c r="D105" s="224" t="s">
        <v>197</v>
      </c>
      <c r="X105" s="445"/>
      <c r="AH105" s="367"/>
    </row>
    <row r="106" spans="24:34" ht="3" customHeight="1">
      <c r="X106" s="445"/>
      <c r="AH106" s="367"/>
    </row>
    <row r="107" spans="2:34" ht="12.75">
      <c r="B107" s="5" t="s">
        <v>198</v>
      </c>
      <c r="F107" s="139"/>
      <c r="G107" s="139"/>
      <c r="H107" s="184"/>
      <c r="I107" s="184"/>
      <c r="J107" s="223"/>
      <c r="K107" s="223"/>
      <c r="L107" s="1010">
        <f>IF(FIO&lt;&gt;"",FIO,"")</f>
      </c>
      <c r="M107" s="1010"/>
      <c r="N107" s="1010"/>
      <c r="O107" s="1010"/>
      <c r="P107" s="1010"/>
      <c r="Q107" s="1010"/>
      <c r="R107" s="1010"/>
      <c r="S107" s="1010"/>
      <c r="T107" s="1010"/>
      <c r="U107" s="1010"/>
      <c r="V107" s="1010"/>
      <c r="W107" s="1010"/>
      <c r="X107" s="445"/>
      <c r="AH107" s="367"/>
    </row>
    <row r="108" spans="6:34" ht="12.75" customHeight="1">
      <c r="F108" s="912" t="s">
        <v>199</v>
      </c>
      <c r="G108" s="912"/>
      <c r="H108" s="912"/>
      <c r="I108" s="912"/>
      <c r="J108" s="186"/>
      <c r="L108" s="984" t="s">
        <v>54</v>
      </c>
      <c r="M108" s="984"/>
      <c r="N108" s="984"/>
      <c r="O108" s="984"/>
      <c r="P108" s="984"/>
      <c r="Q108" s="984"/>
      <c r="R108" s="984"/>
      <c r="S108" s="984"/>
      <c r="T108" s="319"/>
      <c r="U108" s="319"/>
      <c r="V108" s="319"/>
      <c r="W108" s="319"/>
      <c r="X108" s="445"/>
      <c r="AH108" s="367"/>
    </row>
    <row r="109" spans="7:34" ht="5.25" customHeight="1">
      <c r="G109" s="185"/>
      <c r="P109" s="203"/>
      <c r="Q109" s="203"/>
      <c r="R109" s="203"/>
      <c r="X109" s="445"/>
      <c r="AH109" s="367"/>
    </row>
    <row r="110" spans="1:34" ht="15">
      <c r="A110" s="988" t="s">
        <v>200</v>
      </c>
      <c r="B110" s="988"/>
      <c r="C110" s="988"/>
      <c r="D110" s="988"/>
      <c r="E110" s="988"/>
      <c r="F110" s="988"/>
      <c r="G110" s="988"/>
      <c r="H110" s="988"/>
      <c r="I110" s="988"/>
      <c r="J110" s="988"/>
      <c r="K110" s="988"/>
      <c r="L110" s="988"/>
      <c r="M110" s="988"/>
      <c r="N110" s="988"/>
      <c r="O110" s="988"/>
      <c r="P110" s="988"/>
      <c r="Q110" s="988"/>
      <c r="R110" s="988"/>
      <c r="S110" s="988"/>
      <c r="T110" s="988"/>
      <c r="U110" s="988"/>
      <c r="V110" s="988"/>
      <c r="W110" s="988"/>
      <c r="X110" s="445"/>
      <c r="Y110" s="187" t="s">
        <v>207</v>
      </c>
      <c r="AA110" s="251" t="s">
        <v>279</v>
      </c>
      <c r="AB110" s="251" t="s">
        <v>208</v>
      </c>
      <c r="AC110" s="281" t="s">
        <v>278</v>
      </c>
      <c r="AE110" s="313" t="s">
        <v>399</v>
      </c>
      <c r="AH110" s="367"/>
    </row>
    <row r="111" spans="1:45" ht="9" customHeight="1">
      <c r="A111" s="260"/>
      <c r="X111" s="445"/>
      <c r="AH111" s="367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262</v>
      </c>
      <c r="B112" s="260" t="s">
        <v>646</v>
      </c>
      <c r="X112" s="445"/>
      <c r="Y112" s="288" t="str">
        <f>A112</f>
        <v>1. </v>
      </c>
      <c r="Z112" s="271" t="s">
        <v>281</v>
      </c>
      <c r="AA112" s="268">
        <f>SUM(Y114:Y163)</f>
        <v>0</v>
      </c>
      <c r="AB112" s="269">
        <f>SUM(Z114:Z163)</f>
        <v>100</v>
      </c>
      <c r="AC112" s="314">
        <f>SUM(AA114:AA163)</f>
        <v>60</v>
      </c>
      <c r="AE112" s="313" t="b">
        <f>итого_1&gt;=AC112</f>
        <v>0</v>
      </c>
      <c r="AH112" s="367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907" t="s">
        <v>201</v>
      </c>
      <c r="B113" s="907"/>
      <c r="C113" s="907"/>
      <c r="D113" s="907"/>
      <c r="E113" s="907"/>
      <c r="F113" s="907"/>
      <c r="G113" s="907"/>
      <c r="H113" s="907"/>
      <c r="I113" s="907"/>
      <c r="J113" s="907"/>
      <c r="K113" s="907"/>
      <c r="L113" s="907"/>
      <c r="M113" s="907"/>
      <c r="N113" s="907"/>
      <c r="O113" s="907"/>
      <c r="P113" s="907"/>
      <c r="Q113" s="907"/>
      <c r="R113" s="907"/>
      <c r="S113" s="907"/>
      <c r="T113" s="907"/>
      <c r="U113" s="907"/>
      <c r="V113" s="907"/>
      <c r="W113" s="907"/>
      <c r="X113" s="445"/>
      <c r="AG113" s="12"/>
      <c r="AH113" s="367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202</v>
      </c>
      <c r="B114" s="908" t="s">
        <v>666</v>
      </c>
      <c r="C114" s="908"/>
      <c r="D114" s="908"/>
      <c r="E114" s="908"/>
      <c r="F114" s="908"/>
      <c r="G114" s="908"/>
      <c r="H114" s="908"/>
      <c r="I114" s="908"/>
      <c r="J114" s="908"/>
      <c r="K114" s="908"/>
      <c r="L114" s="908"/>
      <c r="M114" s="908"/>
      <c r="N114" s="908"/>
      <c r="O114" s="908"/>
      <c r="P114" s="908"/>
      <c r="Q114" s="908"/>
      <c r="R114" s="908"/>
      <c r="S114" s="908"/>
      <c r="T114" s="908"/>
      <c r="U114" s="908"/>
      <c r="V114" s="908"/>
      <c r="W114" s="908"/>
      <c r="X114" s="445"/>
      <c r="Z114" s="12"/>
      <c r="AA114" s="12"/>
      <c r="AB114" s="12"/>
      <c r="AC114" s="12"/>
      <c r="AD114" s="12"/>
      <c r="AG114" s="12"/>
      <c r="AH114" s="367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908"/>
      <c r="C115" s="908"/>
      <c r="D115" s="908"/>
      <c r="E115" s="908"/>
      <c r="F115" s="908"/>
      <c r="G115" s="908"/>
      <c r="H115" s="908"/>
      <c r="I115" s="908"/>
      <c r="J115" s="908"/>
      <c r="K115" s="908"/>
      <c r="L115" s="908"/>
      <c r="M115" s="908"/>
      <c r="N115" s="908"/>
      <c r="O115" s="908"/>
      <c r="P115" s="908"/>
      <c r="Q115" s="908"/>
      <c r="R115" s="908"/>
      <c r="S115" s="908"/>
      <c r="T115" s="908"/>
      <c r="U115" s="908"/>
      <c r="V115" s="908"/>
      <c r="W115" s="908"/>
      <c r="X115" s="445"/>
      <c r="Z115" s="12"/>
      <c r="AA115" s="12"/>
      <c r="AB115" s="12"/>
      <c r="AC115" s="12"/>
      <c r="AD115" s="12"/>
      <c r="AG115" s="12"/>
      <c r="AH115" s="367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908"/>
      <c r="C116" s="908"/>
      <c r="D116" s="908"/>
      <c r="E116" s="908"/>
      <c r="F116" s="908"/>
      <c r="G116" s="908"/>
      <c r="H116" s="908"/>
      <c r="I116" s="908"/>
      <c r="J116" s="908"/>
      <c r="K116" s="908"/>
      <c r="L116" s="908"/>
      <c r="M116" s="908"/>
      <c r="N116" s="908"/>
      <c r="O116" s="908"/>
      <c r="P116" s="908"/>
      <c r="Q116" s="908"/>
      <c r="R116" s="908"/>
      <c r="S116" s="908"/>
      <c r="T116" s="908"/>
      <c r="U116" s="908"/>
      <c r="V116" s="908"/>
      <c r="W116" s="908"/>
      <c r="X116" s="445"/>
      <c r="Z116" s="12"/>
      <c r="AA116" s="12"/>
      <c r="AB116" s="12"/>
      <c r="AC116" s="12"/>
      <c r="AD116" s="12"/>
      <c r="AG116" s="12"/>
      <c r="AH116" s="367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908"/>
      <c r="C117" s="908"/>
      <c r="D117" s="908"/>
      <c r="E117" s="908"/>
      <c r="F117" s="908"/>
      <c r="G117" s="908"/>
      <c r="H117" s="908"/>
      <c r="I117" s="908"/>
      <c r="J117" s="908"/>
      <c r="K117" s="908"/>
      <c r="L117" s="908"/>
      <c r="M117" s="908"/>
      <c r="N117" s="908"/>
      <c r="O117" s="908"/>
      <c r="P117" s="908"/>
      <c r="Q117" s="908"/>
      <c r="R117" s="908"/>
      <c r="S117" s="908"/>
      <c r="T117" s="908"/>
      <c r="U117" s="908"/>
      <c r="V117" s="908"/>
      <c r="W117" s="908"/>
      <c r="X117" s="445"/>
      <c r="Z117" s="12"/>
      <c r="AA117" s="12"/>
      <c r="AB117" s="12"/>
      <c r="AC117" s="12"/>
      <c r="AD117" s="12"/>
      <c r="AE117" s="12"/>
      <c r="AF117" s="12"/>
      <c r="AG117" s="12"/>
      <c r="AH117" s="367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202</v>
      </c>
      <c r="B118" s="908" t="s">
        <v>665</v>
      </c>
      <c r="C118" s="908"/>
      <c r="D118" s="908"/>
      <c r="E118" s="908"/>
      <c r="F118" s="908"/>
      <c r="G118" s="908"/>
      <c r="H118" s="908"/>
      <c r="I118" s="908"/>
      <c r="J118" s="908"/>
      <c r="K118" s="908"/>
      <c r="L118" s="908"/>
      <c r="M118" s="908"/>
      <c r="N118" s="908"/>
      <c r="O118" s="908"/>
      <c r="P118" s="908"/>
      <c r="Q118" s="908"/>
      <c r="R118" s="908"/>
      <c r="S118" s="908"/>
      <c r="T118" s="908"/>
      <c r="U118" s="908"/>
      <c r="V118" s="908"/>
      <c r="W118" s="908"/>
      <c r="X118" s="445"/>
      <c r="Z118" s="12"/>
      <c r="AA118" s="12"/>
      <c r="AB118" s="12"/>
      <c r="AC118" s="12"/>
      <c r="AD118" s="12"/>
      <c r="AE118" s="12"/>
      <c r="AF118" s="12"/>
      <c r="AG118" s="12"/>
      <c r="AH118" s="367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908"/>
      <c r="C119" s="908"/>
      <c r="D119" s="908"/>
      <c r="E119" s="908"/>
      <c r="F119" s="908"/>
      <c r="G119" s="908"/>
      <c r="H119" s="908"/>
      <c r="I119" s="908"/>
      <c r="J119" s="908"/>
      <c r="K119" s="908"/>
      <c r="L119" s="908"/>
      <c r="M119" s="908"/>
      <c r="N119" s="908"/>
      <c r="O119" s="908"/>
      <c r="P119" s="908"/>
      <c r="Q119" s="908"/>
      <c r="R119" s="908"/>
      <c r="S119" s="908"/>
      <c r="T119" s="908"/>
      <c r="U119" s="908"/>
      <c r="V119" s="908"/>
      <c r="W119" s="908"/>
      <c r="X119" s="445"/>
      <c r="Z119" s="12"/>
      <c r="AA119" s="12"/>
      <c r="AB119" s="12"/>
      <c r="AC119" s="12"/>
      <c r="AD119" s="12"/>
      <c r="AE119" s="12"/>
      <c r="AF119" s="12"/>
      <c r="AG119" s="12"/>
      <c r="AH119" s="367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908"/>
      <c r="C120" s="908"/>
      <c r="D120" s="908"/>
      <c r="E120" s="908"/>
      <c r="F120" s="908"/>
      <c r="G120" s="908"/>
      <c r="H120" s="908"/>
      <c r="I120" s="908"/>
      <c r="J120" s="908"/>
      <c r="K120" s="908"/>
      <c r="L120" s="908"/>
      <c r="M120" s="908"/>
      <c r="N120" s="908"/>
      <c r="O120" s="908"/>
      <c r="P120" s="908"/>
      <c r="Q120" s="908"/>
      <c r="R120" s="908"/>
      <c r="S120" s="908"/>
      <c r="T120" s="908"/>
      <c r="U120" s="908"/>
      <c r="V120" s="908"/>
      <c r="W120" s="908"/>
      <c r="X120" s="445"/>
      <c r="Z120" s="12"/>
      <c r="AA120" s="12"/>
      <c r="AB120" s="12"/>
      <c r="AC120" s="12"/>
      <c r="AD120" s="12"/>
      <c r="AE120" s="12"/>
      <c r="AF120" s="12"/>
      <c r="AG120" s="12"/>
      <c r="AH120" s="367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908"/>
      <c r="C121" s="908"/>
      <c r="D121" s="908"/>
      <c r="E121" s="908"/>
      <c r="F121" s="908"/>
      <c r="G121" s="908"/>
      <c r="H121" s="908"/>
      <c r="I121" s="908"/>
      <c r="J121" s="908"/>
      <c r="K121" s="908"/>
      <c r="L121" s="908"/>
      <c r="M121" s="908"/>
      <c r="N121" s="908"/>
      <c r="O121" s="908"/>
      <c r="P121" s="908"/>
      <c r="Q121" s="908"/>
      <c r="R121" s="908"/>
      <c r="S121" s="908"/>
      <c r="T121" s="908"/>
      <c r="U121" s="908"/>
      <c r="V121" s="908"/>
      <c r="W121" s="908"/>
      <c r="X121" s="445"/>
      <c r="AG121" s="227"/>
      <c r="AH121" s="367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337</v>
      </c>
      <c r="B122" s="1011" t="s">
        <v>647</v>
      </c>
      <c r="C122" s="1011"/>
      <c r="D122" s="1011"/>
      <c r="E122" s="1011"/>
      <c r="F122" s="1011"/>
      <c r="G122" s="1011"/>
      <c r="H122" s="1011"/>
      <c r="I122" s="1011"/>
      <c r="J122" s="1011"/>
      <c r="K122" s="1011"/>
      <c r="L122" s="1011"/>
      <c r="M122" s="1011"/>
      <c r="N122" s="1011"/>
      <c r="O122" s="1011"/>
      <c r="P122" s="1011"/>
      <c r="Q122" s="1011"/>
      <c r="R122" s="1011"/>
      <c r="S122" s="1011"/>
      <c r="T122" s="1011"/>
      <c r="U122" s="1011"/>
      <c r="V122" s="1011"/>
      <c r="W122" s="1011"/>
      <c r="X122" s="445"/>
      <c r="AH122" s="367"/>
    </row>
    <row r="123" spans="2:34" ht="12.75">
      <c r="B123" s="1011"/>
      <c r="C123" s="1011"/>
      <c r="D123" s="1011"/>
      <c r="E123" s="1011"/>
      <c r="F123" s="1011"/>
      <c r="G123" s="1011"/>
      <c r="H123" s="1011"/>
      <c r="I123" s="1011"/>
      <c r="J123" s="1011"/>
      <c r="K123" s="1011"/>
      <c r="L123" s="1011"/>
      <c r="M123" s="1011"/>
      <c r="N123" s="1011"/>
      <c r="O123" s="1011"/>
      <c r="P123" s="1011"/>
      <c r="Q123" s="1011"/>
      <c r="R123" s="1011"/>
      <c r="S123" s="1011"/>
      <c r="T123" s="1011"/>
      <c r="U123" s="1011"/>
      <c r="V123" s="1011"/>
      <c r="W123" s="1011"/>
      <c r="X123" s="445"/>
      <c r="AH123" s="367"/>
    </row>
    <row r="124" spans="2:45" ht="3" customHeight="1">
      <c r="B124" s="297"/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445"/>
      <c r="AG124" s="227"/>
      <c r="AH124" s="367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909" t="s">
        <v>203</v>
      </c>
      <c r="B125" s="1020" t="s">
        <v>18</v>
      </c>
      <c r="C125" s="1020"/>
      <c r="D125" s="1020"/>
      <c r="E125" s="797" t="s">
        <v>204</v>
      </c>
      <c r="F125" s="798"/>
      <c r="G125" s="798"/>
      <c r="H125" s="798"/>
      <c r="I125" s="798"/>
      <c r="J125" s="798"/>
      <c r="K125" s="798"/>
      <c r="L125" s="798"/>
      <c r="M125" s="798"/>
      <c r="N125" s="883"/>
      <c r="O125" s="1012" t="s">
        <v>205</v>
      </c>
      <c r="P125" s="1012"/>
      <c r="Q125" s="1012"/>
      <c r="R125" s="1012"/>
      <c r="S125" s="1012"/>
      <c r="T125" s="1012"/>
      <c r="U125" s="1012"/>
      <c r="V125" s="1012"/>
      <c r="W125" s="1012"/>
      <c r="X125" s="445"/>
      <c r="AG125" s="197"/>
      <c r="AH125" s="367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910"/>
      <c r="B126" s="1020"/>
      <c r="C126" s="1020"/>
      <c r="D126" s="1020"/>
      <c r="E126" s="799"/>
      <c r="F126" s="800"/>
      <c r="G126" s="800"/>
      <c r="H126" s="800"/>
      <c r="I126" s="800"/>
      <c r="J126" s="800"/>
      <c r="K126" s="800"/>
      <c r="L126" s="800"/>
      <c r="M126" s="800"/>
      <c r="N126" s="884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445"/>
      <c r="AG126" s="12"/>
      <c r="AH126" s="367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911"/>
      <c r="B127" s="1020"/>
      <c r="C127" s="1020"/>
      <c r="D127" s="1020"/>
      <c r="E127" s="846"/>
      <c r="F127" s="847"/>
      <c r="G127" s="847"/>
      <c r="H127" s="847"/>
      <c r="I127" s="847"/>
      <c r="J127" s="847"/>
      <c r="K127" s="847"/>
      <c r="L127" s="847"/>
      <c r="M127" s="847"/>
      <c r="N127" s="885"/>
      <c r="O127" s="807">
        <v>0</v>
      </c>
      <c r="P127" s="808"/>
      <c r="Q127" s="808"/>
      <c r="R127" s="809"/>
      <c r="S127" s="848" t="s">
        <v>227</v>
      </c>
      <c r="T127" s="848"/>
      <c r="U127" s="848"/>
      <c r="V127" s="848"/>
      <c r="W127" s="848"/>
      <c r="X127" s="445"/>
      <c r="AG127" s="12"/>
      <c r="AH127" s="367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338</v>
      </c>
      <c r="B128" s="816" t="s">
        <v>339</v>
      </c>
      <c r="C128" s="817"/>
      <c r="D128" s="817"/>
      <c r="E128" s="816" t="s">
        <v>647</v>
      </c>
      <c r="F128" s="817"/>
      <c r="G128" s="817"/>
      <c r="H128" s="817"/>
      <c r="I128" s="817"/>
      <c r="J128" s="817"/>
      <c r="K128" s="817"/>
      <c r="L128" s="817"/>
      <c r="M128" s="817"/>
      <c r="N128" s="817"/>
      <c r="O128" s="856" t="s">
        <v>651</v>
      </c>
      <c r="P128" s="857"/>
      <c r="Q128" s="857"/>
      <c r="R128" s="857"/>
      <c r="S128" s="856" t="s">
        <v>648</v>
      </c>
      <c r="T128" s="857"/>
      <c r="U128" s="857"/>
      <c r="V128" s="857"/>
      <c r="W128" s="869"/>
      <c r="X128" s="445"/>
      <c r="AG128" s="12"/>
      <c r="AH128" s="367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19"/>
      <c r="C129" s="820"/>
      <c r="D129" s="820"/>
      <c r="E129" s="819"/>
      <c r="F129" s="820"/>
      <c r="G129" s="820"/>
      <c r="H129" s="820"/>
      <c r="I129" s="820"/>
      <c r="J129" s="820"/>
      <c r="K129" s="820"/>
      <c r="L129" s="820"/>
      <c r="M129" s="820"/>
      <c r="N129" s="820"/>
      <c r="O129" s="858"/>
      <c r="P129" s="859"/>
      <c r="Q129" s="859"/>
      <c r="R129" s="859"/>
      <c r="S129" s="858"/>
      <c r="T129" s="859"/>
      <c r="U129" s="859"/>
      <c r="V129" s="859"/>
      <c r="W129" s="870"/>
      <c r="X129" s="445"/>
      <c r="AG129" s="12"/>
      <c r="AH129" s="367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55"/>
      <c r="B130" s="819"/>
      <c r="C130" s="820"/>
      <c r="D130" s="820"/>
      <c r="E130" s="819"/>
      <c r="F130" s="820"/>
      <c r="G130" s="820"/>
      <c r="H130" s="820"/>
      <c r="I130" s="820"/>
      <c r="J130" s="820"/>
      <c r="K130" s="820"/>
      <c r="L130" s="820"/>
      <c r="M130" s="820"/>
      <c r="N130" s="820"/>
      <c r="O130" s="858"/>
      <c r="P130" s="859"/>
      <c r="Q130" s="859"/>
      <c r="R130" s="859"/>
      <c r="S130" s="858"/>
      <c r="T130" s="859"/>
      <c r="U130" s="859"/>
      <c r="V130" s="859"/>
      <c r="W130" s="870"/>
      <c r="X130" s="445"/>
      <c r="AG130" s="12"/>
      <c r="AH130" s="367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8.25" customHeight="1">
      <c r="A131" s="255"/>
      <c r="B131" s="819"/>
      <c r="C131" s="820"/>
      <c r="D131" s="820"/>
      <c r="E131" s="819"/>
      <c r="F131" s="820"/>
      <c r="G131" s="820"/>
      <c r="H131" s="820"/>
      <c r="I131" s="820"/>
      <c r="J131" s="820"/>
      <c r="K131" s="820"/>
      <c r="L131" s="820"/>
      <c r="M131" s="820"/>
      <c r="N131" s="820"/>
      <c r="O131" s="858"/>
      <c r="P131" s="859"/>
      <c r="Q131" s="859"/>
      <c r="R131" s="859"/>
      <c r="S131" s="858"/>
      <c r="T131" s="859"/>
      <c r="U131" s="859"/>
      <c r="V131" s="859"/>
      <c r="W131" s="870"/>
      <c r="X131" s="445"/>
      <c r="AG131" s="12"/>
      <c r="AH131" s="367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6.5" customHeight="1">
      <c r="A132" s="255"/>
      <c r="B132" s="819"/>
      <c r="C132" s="820"/>
      <c r="D132" s="820"/>
      <c r="E132" s="840" t="s">
        <v>649</v>
      </c>
      <c r="F132" s="841"/>
      <c r="G132" s="841"/>
      <c r="H132" s="841"/>
      <c r="I132" s="841"/>
      <c r="J132" s="841"/>
      <c r="K132" s="841"/>
      <c r="L132" s="841"/>
      <c r="M132" s="841"/>
      <c r="N132" s="841"/>
      <c r="O132" s="860"/>
      <c r="P132" s="861"/>
      <c r="Q132" s="861"/>
      <c r="R132" s="862"/>
      <c r="S132" s="1031" t="s">
        <v>336</v>
      </c>
      <c r="T132" s="1032"/>
      <c r="U132" s="1032"/>
      <c r="V132" s="1032"/>
      <c r="W132" s="1033"/>
      <c r="X132" s="445"/>
      <c r="AC132" s="339" t="s">
        <v>396</v>
      </c>
      <c r="AG132" s="12"/>
      <c r="AH132" s="367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6.5" customHeight="1">
      <c r="A133" s="255"/>
      <c r="B133" s="819"/>
      <c r="C133" s="820"/>
      <c r="D133" s="820"/>
      <c r="E133" s="840"/>
      <c r="F133" s="841"/>
      <c r="G133" s="841"/>
      <c r="H133" s="841"/>
      <c r="I133" s="841"/>
      <c r="J133" s="841"/>
      <c r="K133" s="841"/>
      <c r="L133" s="841"/>
      <c r="M133" s="841"/>
      <c r="N133" s="841"/>
      <c r="O133" s="860"/>
      <c r="P133" s="861"/>
      <c r="Q133" s="861"/>
      <c r="R133" s="862"/>
      <c r="S133" s="971" t="s">
        <v>263</v>
      </c>
      <c r="T133" s="972"/>
      <c r="U133" s="972"/>
      <c r="V133" s="972"/>
      <c r="W133" s="973"/>
      <c r="X133" s="445"/>
      <c r="AC133" s="341">
        <f>G56</f>
      </c>
      <c r="AG133" s="12"/>
      <c r="AH133" s="367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6.5" customHeight="1">
      <c r="A134" s="255"/>
      <c r="B134" s="819"/>
      <c r="C134" s="820"/>
      <c r="D134" s="820"/>
      <c r="E134" s="840"/>
      <c r="F134" s="841"/>
      <c r="G134" s="841"/>
      <c r="H134" s="841"/>
      <c r="I134" s="841"/>
      <c r="J134" s="841"/>
      <c r="K134" s="841"/>
      <c r="L134" s="841"/>
      <c r="M134" s="841"/>
      <c r="N134" s="841"/>
      <c r="O134" s="860"/>
      <c r="P134" s="861"/>
      <c r="Q134" s="861"/>
      <c r="R134" s="862"/>
      <c r="S134" s="874" t="s">
        <v>264</v>
      </c>
      <c r="T134" s="875"/>
      <c r="U134" s="875"/>
      <c r="V134" s="875"/>
      <c r="W134" s="876"/>
      <c r="X134" s="445"/>
      <c r="Y134" s="190" t="str">
        <f>IF(AC133="первая","да","нет")</f>
        <v>нет</v>
      </c>
      <c r="AG134" s="12"/>
      <c r="AH134" s="367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6.5" customHeight="1">
      <c r="A135" s="255"/>
      <c r="B135" s="819"/>
      <c r="C135" s="820"/>
      <c r="D135" s="820"/>
      <c r="E135" s="840"/>
      <c r="F135" s="841"/>
      <c r="G135" s="841"/>
      <c r="H135" s="841"/>
      <c r="I135" s="841"/>
      <c r="J135" s="841"/>
      <c r="K135" s="841"/>
      <c r="L135" s="841"/>
      <c r="M135" s="841"/>
      <c r="N135" s="841"/>
      <c r="O135" s="863"/>
      <c r="P135" s="864"/>
      <c r="Q135" s="864"/>
      <c r="R135" s="865"/>
      <c r="S135" s="866"/>
      <c r="T135" s="867"/>
      <c r="U135" s="867"/>
      <c r="V135" s="867"/>
      <c r="W135" s="868"/>
      <c r="X135" s="445"/>
      <c r="Y135" s="190"/>
      <c r="AG135" s="12"/>
      <c r="AH135" s="367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5"/>
      <c r="B136" s="819"/>
      <c r="C136" s="820"/>
      <c r="D136" s="820"/>
      <c r="E136" s="840"/>
      <c r="F136" s="841"/>
      <c r="G136" s="841"/>
      <c r="H136" s="841"/>
      <c r="I136" s="841"/>
      <c r="J136" s="841"/>
      <c r="K136" s="841"/>
      <c r="L136" s="841"/>
      <c r="M136" s="841"/>
      <c r="N136" s="842"/>
      <c r="O136" s="838" t="str">
        <f>IF(Y136=0,IF(OR(FIO="",Y134="нет"),"-",0),"")</f>
        <v>-</v>
      </c>
      <c r="P136" s="838"/>
      <c r="Q136" s="838"/>
      <c r="R136" s="838"/>
      <c r="S136" s="877"/>
      <c r="T136" s="877"/>
      <c r="U136" s="877"/>
      <c r="V136" s="877"/>
      <c r="W136" s="878"/>
      <c r="X136" s="445"/>
      <c r="Y136" s="267">
        <f>SUM(S136)</f>
        <v>0</v>
      </c>
      <c r="AC136" s="339" t="s">
        <v>395</v>
      </c>
      <c r="AD136" s="287" t="str">
        <f>IF(z_kateg="первая",AD137,"-")</f>
        <v>-</v>
      </c>
      <c r="AE136" s="287" t="str">
        <f>IF(z_kateg="первая",AE137,"-")</f>
        <v>-</v>
      </c>
      <c r="AF136" s="287" t="str">
        <f>IF(z_kateg="первая",AF137,"-")</f>
        <v>-</v>
      </c>
      <c r="AG136" s="287" t="str">
        <f>IF(z_kateg="первая",AG137,"-")</f>
        <v>-</v>
      </c>
      <c r="AH136" s="367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5" customHeight="1">
      <c r="A137" s="256"/>
      <c r="B137" s="822"/>
      <c r="C137" s="823"/>
      <c r="D137" s="823"/>
      <c r="E137" s="843"/>
      <c r="F137" s="844"/>
      <c r="G137" s="844"/>
      <c r="H137" s="844"/>
      <c r="I137" s="844"/>
      <c r="J137" s="844"/>
      <c r="K137" s="844"/>
      <c r="L137" s="844"/>
      <c r="M137" s="844"/>
      <c r="N137" s="845"/>
      <c r="O137" s="838"/>
      <c r="P137" s="838"/>
      <c r="Q137" s="838"/>
      <c r="R137" s="838"/>
      <c r="S137" s="879"/>
      <c r="T137" s="879"/>
      <c r="U137" s="879"/>
      <c r="V137" s="879"/>
      <c r="W137" s="880"/>
      <c r="X137" s="445"/>
      <c r="AC137" s="340" t="b">
        <f>OR(S136=0,$S$136="-")</f>
        <v>1</v>
      </c>
      <c r="AD137" s="5">
        <v>10</v>
      </c>
      <c r="AE137" s="5">
        <v>60</v>
      </c>
      <c r="AF137" s="5">
        <v>80</v>
      </c>
      <c r="AG137" s="12">
        <v>100</v>
      </c>
      <c r="AH137" s="367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4" t="s">
        <v>340</v>
      </c>
      <c r="B138" s="816" t="s">
        <v>341</v>
      </c>
      <c r="C138" s="817"/>
      <c r="D138" s="817"/>
      <c r="E138" s="816" t="s">
        <v>650</v>
      </c>
      <c r="F138" s="817"/>
      <c r="G138" s="817"/>
      <c r="H138" s="817"/>
      <c r="I138" s="817"/>
      <c r="J138" s="817"/>
      <c r="K138" s="817"/>
      <c r="L138" s="817"/>
      <c r="M138" s="817"/>
      <c r="N138" s="817"/>
      <c r="O138" s="856" t="s">
        <v>653</v>
      </c>
      <c r="P138" s="857"/>
      <c r="Q138" s="857"/>
      <c r="R138" s="869"/>
      <c r="S138" s="856" t="s">
        <v>652</v>
      </c>
      <c r="T138" s="857"/>
      <c r="U138" s="857"/>
      <c r="V138" s="857"/>
      <c r="W138" s="869"/>
      <c r="X138" s="445"/>
      <c r="AG138" s="12"/>
      <c r="AH138" s="367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5"/>
      <c r="B139" s="819"/>
      <c r="C139" s="820"/>
      <c r="D139" s="820"/>
      <c r="E139" s="819"/>
      <c r="F139" s="820"/>
      <c r="G139" s="820"/>
      <c r="H139" s="820"/>
      <c r="I139" s="820"/>
      <c r="J139" s="820"/>
      <c r="K139" s="820"/>
      <c r="L139" s="820"/>
      <c r="M139" s="820"/>
      <c r="N139" s="820"/>
      <c r="O139" s="858"/>
      <c r="P139" s="859"/>
      <c r="Q139" s="859"/>
      <c r="R139" s="870"/>
      <c r="S139" s="858"/>
      <c r="T139" s="859"/>
      <c r="U139" s="859"/>
      <c r="V139" s="859"/>
      <c r="W139" s="870"/>
      <c r="X139" s="445"/>
      <c r="AG139" s="12"/>
      <c r="AH139" s="367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55"/>
      <c r="B140" s="819"/>
      <c r="C140" s="820"/>
      <c r="D140" s="820"/>
      <c r="E140" s="819"/>
      <c r="F140" s="820"/>
      <c r="G140" s="820"/>
      <c r="H140" s="820"/>
      <c r="I140" s="820"/>
      <c r="J140" s="820"/>
      <c r="K140" s="820"/>
      <c r="L140" s="820"/>
      <c r="M140" s="820"/>
      <c r="N140" s="820"/>
      <c r="O140" s="858"/>
      <c r="P140" s="859"/>
      <c r="Q140" s="859"/>
      <c r="R140" s="870"/>
      <c r="S140" s="858"/>
      <c r="T140" s="859"/>
      <c r="U140" s="859"/>
      <c r="V140" s="859"/>
      <c r="W140" s="870"/>
      <c r="X140" s="445"/>
      <c r="AG140" s="12"/>
      <c r="AH140" s="367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8.25" customHeight="1">
      <c r="A141" s="255"/>
      <c r="B141" s="819"/>
      <c r="C141" s="820"/>
      <c r="D141" s="820"/>
      <c r="E141" s="819"/>
      <c r="F141" s="820"/>
      <c r="G141" s="820"/>
      <c r="H141" s="820"/>
      <c r="I141" s="820"/>
      <c r="J141" s="820"/>
      <c r="K141" s="820"/>
      <c r="L141" s="820"/>
      <c r="M141" s="820"/>
      <c r="N141" s="820"/>
      <c r="O141" s="858"/>
      <c r="P141" s="859"/>
      <c r="Q141" s="859"/>
      <c r="R141" s="870"/>
      <c r="S141" s="858"/>
      <c r="T141" s="859"/>
      <c r="U141" s="859"/>
      <c r="V141" s="859"/>
      <c r="W141" s="870"/>
      <c r="X141" s="445"/>
      <c r="AG141" s="12"/>
      <c r="AH141" s="367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6.5" customHeight="1">
      <c r="A142" s="255"/>
      <c r="B142" s="819"/>
      <c r="C142" s="820"/>
      <c r="D142" s="820"/>
      <c r="E142" s="840" t="s">
        <v>649</v>
      </c>
      <c r="F142" s="841"/>
      <c r="G142" s="841"/>
      <c r="H142" s="841"/>
      <c r="I142" s="841"/>
      <c r="J142" s="841"/>
      <c r="K142" s="841"/>
      <c r="L142" s="841"/>
      <c r="M142" s="841"/>
      <c r="N142" s="841"/>
      <c r="O142" s="858"/>
      <c r="P142" s="859"/>
      <c r="Q142" s="859"/>
      <c r="R142" s="870"/>
      <c r="S142" s="1031" t="s">
        <v>336</v>
      </c>
      <c r="T142" s="1032"/>
      <c r="U142" s="1032"/>
      <c r="V142" s="1032"/>
      <c r="W142" s="1033"/>
      <c r="X142" s="445"/>
      <c r="AG142" s="12"/>
      <c r="AH142" s="367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6.5" customHeight="1">
      <c r="A143" s="255"/>
      <c r="B143" s="819"/>
      <c r="C143" s="820"/>
      <c r="D143" s="820"/>
      <c r="E143" s="840"/>
      <c r="F143" s="841"/>
      <c r="G143" s="841"/>
      <c r="H143" s="841"/>
      <c r="I143" s="841"/>
      <c r="J143" s="841"/>
      <c r="K143" s="841"/>
      <c r="L143" s="841"/>
      <c r="M143" s="841"/>
      <c r="N143" s="841"/>
      <c r="O143" s="858"/>
      <c r="P143" s="859"/>
      <c r="Q143" s="859"/>
      <c r="R143" s="870"/>
      <c r="S143" s="971" t="s">
        <v>263</v>
      </c>
      <c r="T143" s="972"/>
      <c r="U143" s="972"/>
      <c r="V143" s="972"/>
      <c r="W143" s="973"/>
      <c r="X143" s="445"/>
      <c r="AG143" s="12"/>
      <c r="AH143" s="367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6.5" customHeight="1">
      <c r="A144" s="255"/>
      <c r="B144" s="819"/>
      <c r="C144" s="820"/>
      <c r="D144" s="820"/>
      <c r="E144" s="840"/>
      <c r="F144" s="841"/>
      <c r="G144" s="841"/>
      <c r="H144" s="841"/>
      <c r="I144" s="841"/>
      <c r="J144" s="841"/>
      <c r="K144" s="841"/>
      <c r="L144" s="841"/>
      <c r="M144" s="841"/>
      <c r="N144" s="841"/>
      <c r="O144" s="858"/>
      <c r="P144" s="859"/>
      <c r="Q144" s="859"/>
      <c r="R144" s="870"/>
      <c r="S144" s="874" t="s">
        <v>264</v>
      </c>
      <c r="T144" s="875"/>
      <c r="U144" s="875"/>
      <c r="V144" s="875"/>
      <c r="W144" s="876"/>
      <c r="X144" s="445"/>
      <c r="Y144" s="190" t="str">
        <f>IF(AC133="высшая","да","нет")</f>
        <v>нет</v>
      </c>
      <c r="AD144" s="189"/>
      <c r="AG144" s="12"/>
      <c r="AH144" s="367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6.5" customHeight="1">
      <c r="A145" s="255"/>
      <c r="B145" s="819"/>
      <c r="C145" s="820"/>
      <c r="D145" s="820"/>
      <c r="E145" s="840"/>
      <c r="F145" s="841"/>
      <c r="G145" s="841"/>
      <c r="H145" s="841"/>
      <c r="I145" s="841"/>
      <c r="J145" s="841"/>
      <c r="K145" s="841"/>
      <c r="L145" s="841"/>
      <c r="M145" s="841"/>
      <c r="N145" s="841"/>
      <c r="O145" s="871"/>
      <c r="P145" s="872"/>
      <c r="Q145" s="872"/>
      <c r="R145" s="873"/>
      <c r="S145" s="866"/>
      <c r="T145" s="867"/>
      <c r="U145" s="867"/>
      <c r="V145" s="867"/>
      <c r="W145" s="868"/>
      <c r="X145" s="445"/>
      <c r="Y145" s="190"/>
      <c r="AD145" s="189"/>
      <c r="AG145" s="12"/>
      <c r="AH145" s="367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12.75">
      <c r="A146" s="255"/>
      <c r="B146" s="819"/>
      <c r="C146" s="820"/>
      <c r="D146" s="820"/>
      <c r="E146" s="840"/>
      <c r="F146" s="841"/>
      <c r="G146" s="841"/>
      <c r="H146" s="841"/>
      <c r="I146" s="841"/>
      <c r="J146" s="841"/>
      <c r="K146" s="841"/>
      <c r="L146" s="841"/>
      <c r="M146" s="841"/>
      <c r="N146" s="842"/>
      <c r="O146" s="838" t="str">
        <f>IF(Y146=0,IF(OR(FIO="",Y144="нет"),"-",0),"")</f>
        <v>-</v>
      </c>
      <c r="P146" s="838"/>
      <c r="Q146" s="838"/>
      <c r="R146" s="838"/>
      <c r="S146" s="877"/>
      <c r="T146" s="877"/>
      <c r="U146" s="877"/>
      <c r="V146" s="877"/>
      <c r="W146" s="878"/>
      <c r="X146" s="445"/>
      <c r="Y146" s="267">
        <f>SUM(S146)</f>
        <v>0</v>
      </c>
      <c r="Z146" s="251" t="s">
        <v>208</v>
      </c>
      <c r="AA146" s="252" t="s">
        <v>278</v>
      </c>
      <c r="AC146" s="339" t="s">
        <v>395</v>
      </c>
      <c r="AD146" s="287" t="str">
        <f>IF(z_kateg="высшая",AD137,"-")</f>
        <v>-</v>
      </c>
      <c r="AE146" s="287" t="str">
        <f>IF(z_kateg="высшая",AE137,"-")</f>
        <v>-</v>
      </c>
      <c r="AF146" s="287" t="str">
        <f>IF(z_kateg="высшая",AF137,"-")</f>
        <v>-</v>
      </c>
      <c r="AG146" s="287" t="str">
        <f>IF(z_kateg="высшая",AG137,"-")</f>
        <v>-</v>
      </c>
      <c r="AH146" s="367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12.75">
      <c r="A147" s="256"/>
      <c r="B147" s="822"/>
      <c r="C147" s="823"/>
      <c r="D147" s="823"/>
      <c r="E147" s="843"/>
      <c r="F147" s="844"/>
      <c r="G147" s="844"/>
      <c r="H147" s="844"/>
      <c r="I147" s="844"/>
      <c r="J147" s="844"/>
      <c r="K147" s="844"/>
      <c r="L147" s="844"/>
      <c r="M147" s="844"/>
      <c r="N147" s="845"/>
      <c r="O147" s="838"/>
      <c r="P147" s="838"/>
      <c r="Q147" s="838"/>
      <c r="R147" s="838"/>
      <c r="S147" s="879"/>
      <c r="T147" s="879"/>
      <c r="U147" s="879"/>
      <c r="V147" s="879"/>
      <c r="W147" s="880"/>
      <c r="X147" s="445"/>
      <c r="Z147" s="253">
        <v>100</v>
      </c>
      <c r="AA147" s="270">
        <v>60</v>
      </c>
      <c r="AC147" s="340" t="b">
        <f>OR(S146=0,$S$146="-")</f>
        <v>1</v>
      </c>
      <c r="AD147" s="189"/>
      <c r="AG147" s="12"/>
      <c r="AH147" s="367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2:45" ht="14.25" customHeight="1">
      <c r="B148" s="297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445"/>
      <c r="AG148" s="227"/>
      <c r="AH148" s="367"/>
      <c r="AI148" s="227"/>
      <c r="AJ148" s="227"/>
      <c r="AK148" s="227"/>
      <c r="AL148" s="227"/>
      <c r="AM148" s="227"/>
      <c r="AN148" s="227"/>
      <c r="AO148" s="227"/>
      <c r="AP148" s="12"/>
      <c r="AQ148" s="12"/>
      <c r="AR148" s="12"/>
      <c r="AS148" s="12"/>
    </row>
    <row r="149" spans="1:34" ht="12.75">
      <c r="A149" s="263" t="s">
        <v>342</v>
      </c>
      <c r="B149" s="1011" t="s">
        <v>765</v>
      </c>
      <c r="C149" s="1011"/>
      <c r="D149" s="1011"/>
      <c r="E149" s="1011"/>
      <c r="F149" s="1011"/>
      <c r="G149" s="1011"/>
      <c r="H149" s="1011"/>
      <c r="I149" s="1011"/>
      <c r="J149" s="1011"/>
      <c r="K149" s="1011"/>
      <c r="L149" s="1011"/>
      <c r="M149" s="1011"/>
      <c r="N149" s="1011"/>
      <c r="O149" s="1011"/>
      <c r="P149" s="1011"/>
      <c r="Q149" s="1011"/>
      <c r="R149" s="1011"/>
      <c r="S149" s="1011"/>
      <c r="T149" s="1011"/>
      <c r="U149" s="1011"/>
      <c r="V149" s="1011"/>
      <c r="W149" s="1011"/>
      <c r="X149" s="445"/>
      <c r="AH149" s="367"/>
    </row>
    <row r="150" spans="2:34" ht="12.75">
      <c r="B150" s="1011"/>
      <c r="C150" s="1011"/>
      <c r="D150" s="1011"/>
      <c r="E150" s="1011"/>
      <c r="F150" s="1011"/>
      <c r="G150" s="1011"/>
      <c r="H150" s="1011"/>
      <c r="I150" s="1011"/>
      <c r="J150" s="1011"/>
      <c r="K150" s="1011"/>
      <c r="L150" s="1011"/>
      <c r="M150" s="1011"/>
      <c r="N150" s="1011"/>
      <c r="O150" s="1011"/>
      <c r="P150" s="1011"/>
      <c r="Q150" s="1011"/>
      <c r="R150" s="1011"/>
      <c r="S150" s="1011"/>
      <c r="T150" s="1011"/>
      <c r="U150" s="1011"/>
      <c r="V150" s="1011"/>
      <c r="W150" s="1011"/>
      <c r="X150" s="445"/>
      <c r="AH150" s="367"/>
    </row>
    <row r="151" spans="2:45" ht="3" customHeight="1"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445"/>
      <c r="AH151" s="367"/>
      <c r="AM151" s="227"/>
      <c r="AN151" s="227"/>
      <c r="AO151" s="227"/>
      <c r="AP151" s="12"/>
      <c r="AQ151" s="12"/>
      <c r="AR151" s="12"/>
      <c r="AS151" s="12"/>
    </row>
    <row r="152" spans="1:45" ht="12.75" customHeight="1">
      <c r="A152" s="909" t="s">
        <v>203</v>
      </c>
      <c r="B152" s="797" t="s">
        <v>204</v>
      </c>
      <c r="C152" s="798"/>
      <c r="D152" s="798"/>
      <c r="E152" s="798"/>
      <c r="F152" s="798"/>
      <c r="G152" s="798"/>
      <c r="H152" s="798"/>
      <c r="I152" s="798"/>
      <c r="J152" s="798"/>
      <c r="K152" s="798"/>
      <c r="L152" s="798"/>
      <c r="M152" s="798"/>
      <c r="N152" s="883"/>
      <c r="O152" s="1012" t="s">
        <v>205</v>
      </c>
      <c r="P152" s="1012"/>
      <c r="Q152" s="1012"/>
      <c r="R152" s="1012"/>
      <c r="S152" s="1012"/>
      <c r="T152" s="1012"/>
      <c r="U152" s="1012"/>
      <c r="V152" s="1012"/>
      <c r="W152" s="1012"/>
      <c r="X152" s="445"/>
      <c r="AH152" s="367"/>
      <c r="AM152" s="197"/>
      <c r="AN152" s="197"/>
      <c r="AO152" s="197"/>
      <c r="AP152" s="12"/>
      <c r="AQ152" s="12"/>
      <c r="AR152" s="12"/>
      <c r="AS152" s="12"/>
    </row>
    <row r="153" spans="1:45" ht="14.25" customHeight="1">
      <c r="A153" s="910"/>
      <c r="B153" s="799"/>
      <c r="C153" s="800"/>
      <c r="D153" s="800"/>
      <c r="E153" s="800"/>
      <c r="F153" s="800"/>
      <c r="G153" s="800"/>
      <c r="H153" s="800"/>
      <c r="I153" s="800"/>
      <c r="J153" s="800"/>
      <c r="K153" s="800"/>
      <c r="L153" s="800"/>
      <c r="M153" s="800"/>
      <c r="N153" s="884"/>
      <c r="O153" s="1012"/>
      <c r="P153" s="1012"/>
      <c r="Q153" s="1012"/>
      <c r="R153" s="1012"/>
      <c r="S153" s="1012"/>
      <c r="T153" s="1012"/>
      <c r="U153" s="1012"/>
      <c r="V153" s="1012"/>
      <c r="W153" s="1012"/>
      <c r="X153" s="445"/>
      <c r="AB153" s="139"/>
      <c r="AH153" s="367"/>
      <c r="AM153" s="12"/>
      <c r="AN153" s="12"/>
      <c r="AO153" s="12"/>
      <c r="AP153" s="12"/>
      <c r="AQ153" s="12"/>
      <c r="AR153" s="12"/>
      <c r="AS153" s="12"/>
    </row>
    <row r="154" spans="1:45" ht="12.75" customHeight="1">
      <c r="A154" s="911"/>
      <c r="B154" s="846"/>
      <c r="C154" s="847"/>
      <c r="D154" s="847"/>
      <c r="E154" s="847"/>
      <c r="F154" s="847"/>
      <c r="G154" s="847"/>
      <c r="H154" s="847"/>
      <c r="I154" s="847"/>
      <c r="J154" s="847"/>
      <c r="K154" s="847"/>
      <c r="L154" s="847"/>
      <c r="M154" s="847"/>
      <c r="N154" s="885"/>
      <c r="O154" s="807">
        <v>0</v>
      </c>
      <c r="P154" s="808"/>
      <c r="Q154" s="808"/>
      <c r="R154" s="809"/>
      <c r="S154" s="848" t="s">
        <v>227</v>
      </c>
      <c r="T154" s="848"/>
      <c r="U154" s="848"/>
      <c r="V154" s="848"/>
      <c r="W154" s="848"/>
      <c r="X154" s="445"/>
      <c r="AB154" s="189"/>
      <c r="AG154" s="12"/>
      <c r="AH154" s="367"/>
      <c r="AM154" s="12"/>
      <c r="AN154" s="12"/>
      <c r="AO154" s="12"/>
      <c r="AP154" s="12"/>
      <c r="AQ154" s="12"/>
      <c r="AR154" s="12"/>
      <c r="AS154" s="12"/>
    </row>
    <row r="155" spans="1:45" ht="12.75" customHeight="1">
      <c r="A155" s="249" t="s">
        <v>343</v>
      </c>
      <c r="B155" s="816" t="s">
        <v>654</v>
      </c>
      <c r="C155" s="817"/>
      <c r="D155" s="817"/>
      <c r="E155" s="817"/>
      <c r="F155" s="817"/>
      <c r="G155" s="817"/>
      <c r="H155" s="817"/>
      <c r="I155" s="817"/>
      <c r="J155" s="817"/>
      <c r="K155" s="817"/>
      <c r="L155" s="817"/>
      <c r="M155" s="817"/>
      <c r="N155" s="818"/>
      <c r="O155" s="857" t="s">
        <v>362</v>
      </c>
      <c r="P155" s="857"/>
      <c r="Q155" s="857"/>
      <c r="R155" s="869"/>
      <c r="S155" s="856" t="s">
        <v>344</v>
      </c>
      <c r="T155" s="857"/>
      <c r="U155" s="857"/>
      <c r="V155" s="857"/>
      <c r="W155" s="869"/>
      <c r="X155" s="445"/>
      <c r="AB155" s="189"/>
      <c r="AH155" s="367"/>
      <c r="AM155" s="12"/>
      <c r="AN155" s="12"/>
      <c r="AO155" s="12"/>
      <c r="AP155" s="12"/>
      <c r="AQ155" s="12"/>
      <c r="AR155" s="12"/>
      <c r="AS155" s="12"/>
    </row>
    <row r="156" spans="1:45" ht="15" customHeight="1">
      <c r="A156" s="296"/>
      <c r="B156" s="819"/>
      <c r="C156" s="820"/>
      <c r="D156" s="820"/>
      <c r="E156" s="820"/>
      <c r="F156" s="820"/>
      <c r="G156" s="820"/>
      <c r="H156" s="820"/>
      <c r="I156" s="820"/>
      <c r="J156" s="820"/>
      <c r="K156" s="820"/>
      <c r="L156" s="820"/>
      <c r="M156" s="820"/>
      <c r="N156" s="821"/>
      <c r="O156" s="859"/>
      <c r="P156" s="859"/>
      <c r="Q156" s="859"/>
      <c r="R156" s="870"/>
      <c r="S156" s="858"/>
      <c r="T156" s="859"/>
      <c r="U156" s="859"/>
      <c r="V156" s="859"/>
      <c r="W156" s="870"/>
      <c r="X156" s="445"/>
      <c r="AB156" s="189"/>
      <c r="AH156" s="367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2.25" customHeight="1">
      <c r="A157" s="296"/>
      <c r="B157" s="819"/>
      <c r="C157" s="820"/>
      <c r="D157" s="820"/>
      <c r="E157" s="820"/>
      <c r="F157" s="820"/>
      <c r="G157" s="820"/>
      <c r="H157" s="820"/>
      <c r="I157" s="820"/>
      <c r="J157" s="820"/>
      <c r="K157" s="820"/>
      <c r="L157" s="820"/>
      <c r="M157" s="820"/>
      <c r="N157" s="821"/>
      <c r="O157" s="859"/>
      <c r="P157" s="859"/>
      <c r="Q157" s="859"/>
      <c r="R157" s="870"/>
      <c r="S157" s="858"/>
      <c r="T157" s="859"/>
      <c r="U157" s="859"/>
      <c r="V157" s="859"/>
      <c r="W157" s="870"/>
      <c r="X157" s="445"/>
      <c r="AH157" s="367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customHeight="1">
      <c r="A158" s="296"/>
      <c r="B158" s="840" t="s">
        <v>655</v>
      </c>
      <c r="C158" s="841"/>
      <c r="D158" s="841"/>
      <c r="E158" s="841"/>
      <c r="F158" s="841"/>
      <c r="G158" s="841"/>
      <c r="H158" s="841"/>
      <c r="I158" s="841"/>
      <c r="J158" s="841"/>
      <c r="K158" s="841"/>
      <c r="L158" s="841"/>
      <c r="M158" s="841"/>
      <c r="N158" s="842"/>
      <c r="O158" s="859"/>
      <c r="P158" s="859"/>
      <c r="Q158" s="859"/>
      <c r="R158" s="870"/>
      <c r="S158" s="971" t="s">
        <v>336</v>
      </c>
      <c r="T158" s="972"/>
      <c r="U158" s="972"/>
      <c r="V158" s="972"/>
      <c r="W158" s="973"/>
      <c r="X158" s="445"/>
      <c r="AB158" s="590"/>
      <c r="AH158" s="367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2.75">
      <c r="A159" s="296"/>
      <c r="B159" s="840"/>
      <c r="C159" s="841"/>
      <c r="D159" s="841"/>
      <c r="E159" s="841"/>
      <c r="F159" s="841"/>
      <c r="G159" s="841"/>
      <c r="H159" s="841"/>
      <c r="I159" s="841"/>
      <c r="J159" s="841"/>
      <c r="K159" s="841"/>
      <c r="L159" s="841"/>
      <c r="M159" s="841"/>
      <c r="N159" s="842"/>
      <c r="O159" s="859"/>
      <c r="P159" s="859"/>
      <c r="Q159" s="859"/>
      <c r="R159" s="870"/>
      <c r="S159" s="974" t="s">
        <v>263</v>
      </c>
      <c r="T159" s="975"/>
      <c r="U159" s="975"/>
      <c r="V159" s="975"/>
      <c r="W159" s="976"/>
      <c r="X159" s="445"/>
      <c r="AB159" s="590"/>
      <c r="AH159" s="367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>
      <c r="A160" s="296"/>
      <c r="B160" s="840"/>
      <c r="C160" s="841"/>
      <c r="D160" s="841"/>
      <c r="E160" s="841"/>
      <c r="F160" s="841"/>
      <c r="G160" s="841"/>
      <c r="H160" s="841"/>
      <c r="I160" s="841"/>
      <c r="J160" s="841"/>
      <c r="K160" s="841"/>
      <c r="L160" s="841"/>
      <c r="M160" s="841"/>
      <c r="N160" s="842"/>
      <c r="O160" s="872"/>
      <c r="P160" s="872"/>
      <c r="Q160" s="872"/>
      <c r="R160" s="873"/>
      <c r="S160" s="977" t="s">
        <v>264</v>
      </c>
      <c r="T160" s="978"/>
      <c r="U160" s="978"/>
      <c r="V160" s="978"/>
      <c r="W160" s="979"/>
      <c r="X160" s="445"/>
      <c r="AD160" s="350" t="s">
        <v>395</v>
      </c>
      <c r="AH160" s="367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7.25" customHeight="1">
      <c r="A161" s="296"/>
      <c r="B161" s="1013" t="str">
        <f>'общие сведения'!B25:I25</f>
        <v>(в межаттестационный период мониторинги системы образования не проводились)</v>
      </c>
      <c r="C161" s="1014"/>
      <c r="D161" s="1014"/>
      <c r="E161" s="1014"/>
      <c r="F161" s="1014"/>
      <c r="G161" s="1014"/>
      <c r="H161" s="1014"/>
      <c r="I161" s="1014"/>
      <c r="J161" s="1014"/>
      <c r="K161" s="1014"/>
      <c r="L161" s="1014"/>
      <c r="M161" s="1014"/>
      <c r="N161" s="1015"/>
      <c r="O161" s="1019" t="str">
        <f>IF(Y162=0,IF(OR(FIO="",AB162="нет"),"-",0),"")</f>
        <v>-</v>
      </c>
      <c r="P161" s="838"/>
      <c r="Q161" s="838"/>
      <c r="R161" s="838"/>
      <c r="S161" s="919"/>
      <c r="T161" s="920"/>
      <c r="U161" s="920"/>
      <c r="V161" s="920"/>
      <c r="W161" s="921"/>
      <c r="X161" s="445"/>
      <c r="Z161" s="251" t="s">
        <v>208</v>
      </c>
      <c r="AA161" s="252" t="s">
        <v>278</v>
      </c>
      <c r="AB161" s="167" t="s">
        <v>346</v>
      </c>
      <c r="AD161" s="287" t="str">
        <f>IF($AB$162="да",AD137,"-")</f>
        <v>-</v>
      </c>
      <c r="AE161" s="287" t="str">
        <f>IF($AB$162="да",AE137,"-")</f>
        <v>-</v>
      </c>
      <c r="AF161" s="287" t="str">
        <f>IF($AB$162="да",AF137,"-")</f>
        <v>-</v>
      </c>
      <c r="AG161" s="287" t="str">
        <f>IF($AB$162="да",AG137,"-")</f>
        <v>-</v>
      </c>
      <c r="AH161" s="367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ht="12.75" customHeight="1">
      <c r="A162" s="300"/>
      <c r="B162" s="1016"/>
      <c r="C162" s="1017"/>
      <c r="D162" s="1017"/>
      <c r="E162" s="1017"/>
      <c r="F162" s="1017"/>
      <c r="G162" s="1017"/>
      <c r="H162" s="1017"/>
      <c r="I162" s="1017"/>
      <c r="J162" s="1017"/>
      <c r="K162" s="1017"/>
      <c r="L162" s="1017"/>
      <c r="M162" s="1017"/>
      <c r="N162" s="1018"/>
      <c r="O162" s="1019"/>
      <c r="P162" s="838"/>
      <c r="Q162" s="838"/>
      <c r="R162" s="838"/>
      <c r="S162" s="922"/>
      <c r="T162" s="923"/>
      <c r="U162" s="923"/>
      <c r="V162" s="923"/>
      <c r="W162" s="924"/>
      <c r="X162" s="445"/>
      <c r="Y162" s="267">
        <f>IF(AB162="да",S161,0)</f>
        <v>0</v>
      </c>
      <c r="Z162" s="253">
        <f>IF(AB162="нет",0,100)</f>
        <v>0</v>
      </c>
      <c r="AA162" s="270">
        <f>IF(AB162="нет",0,60)</f>
        <v>0</v>
      </c>
      <c r="AB162" s="315" t="str">
        <f>'общие сведения'!K19</f>
        <v>нет</v>
      </c>
      <c r="AC162" s="340" t="b">
        <f>OR(S161=0,$S$161="-")</f>
        <v>1</v>
      </c>
      <c r="AH162" s="367"/>
      <c r="AI162" s="12" t="s">
        <v>5</v>
      </c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ht="11.25" customHeight="1">
      <c r="A163" s="248"/>
      <c r="B163" s="199"/>
      <c r="C163" s="199"/>
      <c r="D163" s="199"/>
      <c r="E163" s="199"/>
      <c r="F163" s="199"/>
      <c r="G163" s="244"/>
      <c r="H163" s="244"/>
      <c r="I163" s="244"/>
      <c r="J163" s="244"/>
      <c r="K163" s="244"/>
      <c r="L163" s="194"/>
      <c r="M163" s="194"/>
      <c r="N163" s="194"/>
      <c r="O163" s="194"/>
      <c r="P163" s="194"/>
      <c r="Q163" s="194"/>
      <c r="R163" s="194"/>
      <c r="S163" s="195"/>
      <c r="T163" s="195"/>
      <c r="U163" s="195"/>
      <c r="V163" s="195"/>
      <c r="W163" s="195"/>
      <c r="X163" s="445"/>
      <c r="AD163" s="189"/>
      <c r="AG163" s="12"/>
      <c r="AH163" s="367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34" ht="12.75">
      <c r="A164" s="168"/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445"/>
      <c r="AA164" s="251" t="s">
        <v>279</v>
      </c>
      <c r="AB164" s="251" t="s">
        <v>208</v>
      </c>
      <c r="AC164" s="281" t="s">
        <v>278</v>
      </c>
      <c r="AD164" s="189"/>
      <c r="AE164" s="313" t="s">
        <v>280</v>
      </c>
      <c r="AH164" s="367"/>
    </row>
    <row r="165" spans="1:45" ht="30.75" customHeight="1">
      <c r="A165" s="639" t="s">
        <v>265</v>
      </c>
      <c r="B165" s="855" t="s">
        <v>656</v>
      </c>
      <c r="C165" s="855"/>
      <c r="D165" s="855"/>
      <c r="E165" s="855"/>
      <c r="F165" s="855"/>
      <c r="G165" s="855"/>
      <c r="H165" s="855"/>
      <c r="I165" s="855"/>
      <c r="J165" s="855"/>
      <c r="K165" s="855"/>
      <c r="L165" s="855"/>
      <c r="M165" s="855"/>
      <c r="N165" s="855"/>
      <c r="O165" s="855"/>
      <c r="P165" s="855"/>
      <c r="Q165" s="855"/>
      <c r="R165" s="855"/>
      <c r="S165" s="855"/>
      <c r="T165" s="855"/>
      <c r="U165" s="855"/>
      <c r="V165" s="855"/>
      <c r="W165" s="855"/>
      <c r="X165" s="445"/>
      <c r="Y165" s="288" t="str">
        <f>A165</f>
        <v>2. </v>
      </c>
      <c r="Z165" s="271" t="s">
        <v>285</v>
      </c>
      <c r="AA165" s="268">
        <f>SUM(Y166:Y333)</f>
        <v>0</v>
      </c>
      <c r="AB165" s="269">
        <f>SUM(Z166:Z333)</f>
        <v>420</v>
      </c>
      <c r="AC165" s="314">
        <f>SUM(AA166:AA333)</f>
        <v>0</v>
      </c>
      <c r="AD165" s="189"/>
      <c r="AE165" s="313" t="b">
        <f>итого_2&gt;=AC165</f>
        <v>1</v>
      </c>
      <c r="AH165" s="367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 ht="13.5">
      <c r="A166" s="907" t="s">
        <v>201</v>
      </c>
      <c r="B166" s="907"/>
      <c r="C166" s="907"/>
      <c r="D166" s="907"/>
      <c r="E166" s="907"/>
      <c r="F166" s="907"/>
      <c r="G166" s="907"/>
      <c r="H166" s="907"/>
      <c r="I166" s="907"/>
      <c r="J166" s="907"/>
      <c r="K166" s="907"/>
      <c r="L166" s="907"/>
      <c r="M166" s="907"/>
      <c r="N166" s="907"/>
      <c r="O166" s="907"/>
      <c r="P166" s="907"/>
      <c r="Q166" s="907"/>
      <c r="R166" s="907"/>
      <c r="S166" s="907"/>
      <c r="T166" s="907"/>
      <c r="U166" s="907"/>
      <c r="V166" s="907"/>
      <c r="W166" s="907"/>
      <c r="X166" s="445"/>
      <c r="AD166" s="189"/>
      <c r="AH166" s="367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45" ht="12.75">
      <c r="A167" s="204" t="s">
        <v>202</v>
      </c>
      <c r="B167" s="908" t="s">
        <v>309</v>
      </c>
      <c r="C167" s="908"/>
      <c r="D167" s="908"/>
      <c r="E167" s="908"/>
      <c r="F167" s="908"/>
      <c r="G167" s="908"/>
      <c r="H167" s="908"/>
      <c r="I167" s="908"/>
      <c r="J167" s="908"/>
      <c r="K167" s="908"/>
      <c r="L167" s="908"/>
      <c r="M167" s="908"/>
      <c r="N167" s="908"/>
      <c r="O167" s="908"/>
      <c r="P167" s="908"/>
      <c r="Q167" s="908"/>
      <c r="R167" s="908"/>
      <c r="S167" s="908"/>
      <c r="T167" s="908"/>
      <c r="U167" s="908"/>
      <c r="V167" s="908"/>
      <c r="W167" s="908"/>
      <c r="X167" s="445"/>
      <c r="AH167" s="367"/>
      <c r="AM167" s="12"/>
      <c r="AN167" s="12"/>
      <c r="AO167" s="12"/>
      <c r="AP167" s="12"/>
      <c r="AQ167" s="12"/>
      <c r="AR167" s="12"/>
      <c r="AS167" s="12"/>
    </row>
    <row r="168" spans="1:45" ht="6" customHeight="1">
      <c r="A168" s="261"/>
      <c r="B168" s="908"/>
      <c r="C168" s="908"/>
      <c r="D168" s="908"/>
      <c r="E168" s="908"/>
      <c r="F168" s="908"/>
      <c r="G168" s="908"/>
      <c r="H168" s="908"/>
      <c r="I168" s="908"/>
      <c r="J168" s="908"/>
      <c r="K168" s="908"/>
      <c r="L168" s="908"/>
      <c r="M168" s="908"/>
      <c r="N168" s="908"/>
      <c r="O168" s="908"/>
      <c r="P168" s="908"/>
      <c r="Q168" s="908"/>
      <c r="R168" s="908"/>
      <c r="S168" s="908"/>
      <c r="T168" s="908"/>
      <c r="U168" s="908"/>
      <c r="V168" s="908"/>
      <c r="W168" s="908"/>
      <c r="X168" s="445"/>
      <c r="AH168" s="367"/>
      <c r="AM168" s="12"/>
      <c r="AN168" s="12"/>
      <c r="AO168" s="12"/>
      <c r="AP168" s="12"/>
      <c r="AQ168" s="12"/>
      <c r="AR168" s="12"/>
      <c r="AS168" s="12"/>
    </row>
    <row r="169" spans="1:45" ht="12.75">
      <c r="A169" s="261"/>
      <c r="B169" s="908"/>
      <c r="C169" s="908"/>
      <c r="D169" s="908"/>
      <c r="E169" s="908"/>
      <c r="F169" s="908"/>
      <c r="G169" s="908"/>
      <c r="H169" s="908"/>
      <c r="I169" s="908"/>
      <c r="J169" s="908"/>
      <c r="K169" s="908"/>
      <c r="L169" s="908"/>
      <c r="M169" s="908"/>
      <c r="N169" s="908"/>
      <c r="O169" s="908"/>
      <c r="P169" s="908"/>
      <c r="Q169" s="908"/>
      <c r="R169" s="908"/>
      <c r="S169" s="908"/>
      <c r="T169" s="908"/>
      <c r="U169" s="908"/>
      <c r="V169" s="908"/>
      <c r="W169" s="908"/>
      <c r="X169" s="445"/>
      <c r="Z169" s="12"/>
      <c r="AH169" s="367"/>
      <c r="AN169" s="12"/>
      <c r="AO169" s="12"/>
      <c r="AP169" s="12"/>
      <c r="AQ169" s="12"/>
      <c r="AR169" s="12"/>
      <c r="AS169" s="12"/>
    </row>
    <row r="170" spans="1:45" ht="12.75">
      <c r="A170" s="204" t="s">
        <v>202</v>
      </c>
      <c r="B170" s="908" t="s">
        <v>308</v>
      </c>
      <c r="C170" s="908"/>
      <c r="D170" s="908"/>
      <c r="E170" s="908"/>
      <c r="F170" s="908"/>
      <c r="G170" s="908"/>
      <c r="H170" s="908"/>
      <c r="I170" s="908"/>
      <c r="J170" s="908"/>
      <c r="K170" s="908"/>
      <c r="L170" s="908"/>
      <c r="M170" s="908"/>
      <c r="N170" s="908"/>
      <c r="O170" s="908"/>
      <c r="P170" s="908"/>
      <c r="Q170" s="908"/>
      <c r="R170" s="908"/>
      <c r="S170" s="908"/>
      <c r="T170" s="908"/>
      <c r="U170" s="908"/>
      <c r="V170" s="908"/>
      <c r="W170" s="908"/>
      <c r="X170" s="445"/>
      <c r="AH170" s="367"/>
      <c r="AN170" s="12"/>
      <c r="AO170" s="12"/>
      <c r="AP170" s="12"/>
      <c r="AQ170" s="12"/>
      <c r="AR170" s="12"/>
      <c r="AS170" s="12"/>
    </row>
    <row r="171" spans="2:45" ht="12.75">
      <c r="B171" s="908"/>
      <c r="C171" s="908"/>
      <c r="D171" s="908"/>
      <c r="E171" s="908"/>
      <c r="F171" s="908"/>
      <c r="G171" s="908"/>
      <c r="H171" s="908"/>
      <c r="I171" s="908"/>
      <c r="J171" s="908"/>
      <c r="K171" s="908"/>
      <c r="L171" s="908"/>
      <c r="M171" s="908"/>
      <c r="N171" s="908"/>
      <c r="O171" s="908"/>
      <c r="P171" s="908"/>
      <c r="Q171" s="908"/>
      <c r="R171" s="908"/>
      <c r="S171" s="908"/>
      <c r="T171" s="908"/>
      <c r="U171" s="908"/>
      <c r="V171" s="908"/>
      <c r="W171" s="908"/>
      <c r="X171" s="445"/>
      <c r="AH171" s="367"/>
      <c r="AM171" s="12"/>
      <c r="AN171" s="12"/>
      <c r="AO171" s="12"/>
      <c r="AP171" s="12"/>
      <c r="AQ171" s="12"/>
      <c r="AR171" s="12"/>
      <c r="AS171" s="12"/>
    </row>
    <row r="172" spans="2:45" ht="12.75">
      <c r="B172" s="908"/>
      <c r="C172" s="908"/>
      <c r="D172" s="908"/>
      <c r="E172" s="908"/>
      <c r="F172" s="908"/>
      <c r="G172" s="908"/>
      <c r="H172" s="908"/>
      <c r="I172" s="908"/>
      <c r="J172" s="908"/>
      <c r="K172" s="908"/>
      <c r="L172" s="908"/>
      <c r="M172" s="908"/>
      <c r="N172" s="908"/>
      <c r="O172" s="908"/>
      <c r="P172" s="908"/>
      <c r="Q172" s="908"/>
      <c r="R172" s="908"/>
      <c r="S172" s="908"/>
      <c r="T172" s="908"/>
      <c r="U172" s="908"/>
      <c r="V172" s="908"/>
      <c r="W172" s="908"/>
      <c r="X172" s="445"/>
      <c r="AH172" s="367"/>
      <c r="AM172" s="12"/>
      <c r="AN172" s="12"/>
      <c r="AO172" s="12"/>
      <c r="AP172" s="12"/>
      <c r="AQ172" s="12"/>
      <c r="AR172" s="12"/>
      <c r="AS172" s="12"/>
    </row>
    <row r="173" spans="2:34" ht="12.75" customHeight="1">
      <c r="B173" s="908"/>
      <c r="C173" s="908"/>
      <c r="D173" s="908"/>
      <c r="E173" s="908"/>
      <c r="F173" s="908"/>
      <c r="G173" s="908"/>
      <c r="H173" s="908"/>
      <c r="I173" s="908"/>
      <c r="J173" s="908"/>
      <c r="K173" s="908"/>
      <c r="L173" s="908"/>
      <c r="M173" s="908"/>
      <c r="N173" s="908"/>
      <c r="O173" s="908"/>
      <c r="P173" s="908"/>
      <c r="Q173" s="908"/>
      <c r="R173" s="908"/>
      <c r="S173" s="908"/>
      <c r="T173" s="908"/>
      <c r="U173" s="908"/>
      <c r="V173" s="908"/>
      <c r="W173" s="908"/>
      <c r="X173" s="445"/>
      <c r="AH173" s="367"/>
    </row>
    <row r="174" spans="1:34" ht="14.25">
      <c r="A174" s="794" t="s">
        <v>203</v>
      </c>
      <c r="B174" s="797" t="s">
        <v>204</v>
      </c>
      <c r="C174" s="798"/>
      <c r="D174" s="798"/>
      <c r="E174" s="798"/>
      <c r="F174" s="798"/>
      <c r="G174" s="798"/>
      <c r="H174" s="798"/>
      <c r="I174" s="801" t="s">
        <v>205</v>
      </c>
      <c r="J174" s="802"/>
      <c r="K174" s="802"/>
      <c r="L174" s="802"/>
      <c r="M174" s="802"/>
      <c r="N174" s="802"/>
      <c r="O174" s="802"/>
      <c r="P174" s="802"/>
      <c r="Q174" s="802"/>
      <c r="R174" s="802"/>
      <c r="S174" s="802"/>
      <c r="T174" s="802"/>
      <c r="U174" s="802"/>
      <c r="V174" s="802"/>
      <c r="W174" s="803"/>
      <c r="X174" s="367"/>
      <c r="AE174" s="640"/>
      <c r="AF174" s="640"/>
      <c r="AH174" s="641"/>
    </row>
    <row r="175" spans="1:34" ht="14.25" customHeight="1">
      <c r="A175" s="795"/>
      <c r="B175" s="799"/>
      <c r="C175" s="800"/>
      <c r="D175" s="800"/>
      <c r="E175" s="800"/>
      <c r="F175" s="800"/>
      <c r="G175" s="800"/>
      <c r="H175" s="800"/>
      <c r="I175" s="804" t="s">
        <v>206</v>
      </c>
      <c r="J175" s="805"/>
      <c r="K175" s="805"/>
      <c r="L175" s="805"/>
      <c r="M175" s="805"/>
      <c r="N175" s="805"/>
      <c r="O175" s="805"/>
      <c r="P175" s="805"/>
      <c r="Q175" s="805"/>
      <c r="R175" s="805"/>
      <c r="S175" s="805"/>
      <c r="T175" s="805"/>
      <c r="U175" s="805"/>
      <c r="V175" s="805"/>
      <c r="W175" s="806"/>
      <c r="X175" s="367"/>
      <c r="AE175" s="640"/>
      <c r="AF175" s="640"/>
      <c r="AH175" s="641"/>
    </row>
    <row r="176" spans="1:34" ht="14.25" customHeight="1">
      <c r="A176" s="796"/>
      <c r="B176" s="846"/>
      <c r="C176" s="847"/>
      <c r="D176" s="847"/>
      <c r="E176" s="847"/>
      <c r="F176" s="847"/>
      <c r="G176" s="847"/>
      <c r="H176" s="847"/>
      <c r="I176" s="848">
        <v>0</v>
      </c>
      <c r="J176" s="848"/>
      <c r="K176" s="848"/>
      <c r="L176" s="848"/>
      <c r="M176" s="848"/>
      <c r="N176" s="848">
        <v>10</v>
      </c>
      <c r="O176" s="848"/>
      <c r="P176" s="848"/>
      <c r="Q176" s="848"/>
      <c r="R176" s="848"/>
      <c r="S176" s="848">
        <v>20</v>
      </c>
      <c r="T176" s="848"/>
      <c r="U176" s="848"/>
      <c r="V176" s="848"/>
      <c r="W176" s="848"/>
      <c r="X176" s="367"/>
      <c r="AE176" s="640"/>
      <c r="AF176" s="640"/>
      <c r="AH176" s="641"/>
    </row>
    <row r="177" spans="1:34" ht="12.75" customHeight="1">
      <c r="A177" s="632" t="s">
        <v>412</v>
      </c>
      <c r="B177" s="816" t="s">
        <v>660</v>
      </c>
      <c r="C177" s="817"/>
      <c r="D177" s="817"/>
      <c r="E177" s="817"/>
      <c r="F177" s="817"/>
      <c r="G177" s="817"/>
      <c r="H177" s="818"/>
      <c r="I177" s="825" t="s">
        <v>657</v>
      </c>
      <c r="J177" s="826"/>
      <c r="K177" s="826"/>
      <c r="L177" s="826"/>
      <c r="M177" s="827"/>
      <c r="N177" s="825" t="s">
        <v>658</v>
      </c>
      <c r="O177" s="826"/>
      <c r="P177" s="826"/>
      <c r="Q177" s="826"/>
      <c r="R177" s="827"/>
      <c r="S177" s="825" t="s">
        <v>659</v>
      </c>
      <c r="T177" s="826"/>
      <c r="U177" s="826"/>
      <c r="V177" s="826"/>
      <c r="W177" s="827"/>
      <c r="X177" s="367"/>
      <c r="AE177" s="640"/>
      <c r="AF177" s="640"/>
      <c r="AH177" s="641"/>
    </row>
    <row r="178" spans="1:34" ht="12.75" customHeight="1">
      <c r="A178" s="633"/>
      <c r="B178" s="819"/>
      <c r="C178" s="820"/>
      <c r="D178" s="820"/>
      <c r="E178" s="820"/>
      <c r="F178" s="820"/>
      <c r="G178" s="820"/>
      <c r="H178" s="821"/>
      <c r="I178" s="828"/>
      <c r="J178" s="829"/>
      <c r="K178" s="829"/>
      <c r="L178" s="829"/>
      <c r="M178" s="830"/>
      <c r="N178" s="828"/>
      <c r="O178" s="829"/>
      <c r="P178" s="829"/>
      <c r="Q178" s="829"/>
      <c r="R178" s="830"/>
      <c r="S178" s="828"/>
      <c r="T178" s="829"/>
      <c r="U178" s="829"/>
      <c r="V178" s="829"/>
      <c r="W178" s="830"/>
      <c r="X178" s="367"/>
      <c r="AE178" s="640"/>
      <c r="AF178" s="640"/>
      <c r="AH178" s="641"/>
    </row>
    <row r="179" spans="1:34" ht="12.75" customHeight="1" hidden="1">
      <c r="A179" s="633"/>
      <c r="B179" s="819"/>
      <c r="C179" s="820"/>
      <c r="D179" s="820"/>
      <c r="E179" s="820"/>
      <c r="F179" s="820"/>
      <c r="G179" s="820"/>
      <c r="H179" s="821"/>
      <c r="I179" s="828"/>
      <c r="J179" s="829"/>
      <c r="K179" s="829"/>
      <c r="L179" s="829"/>
      <c r="M179" s="830"/>
      <c r="N179" s="828"/>
      <c r="O179" s="829"/>
      <c r="P179" s="829"/>
      <c r="Q179" s="829"/>
      <c r="R179" s="830"/>
      <c r="S179" s="828"/>
      <c r="T179" s="829"/>
      <c r="U179" s="829"/>
      <c r="V179" s="829"/>
      <c r="W179" s="830"/>
      <c r="X179" s="367"/>
      <c r="AE179" s="640"/>
      <c r="AF179" s="640"/>
      <c r="AH179" s="641"/>
    </row>
    <row r="180" spans="1:34" ht="12.75" customHeight="1" hidden="1">
      <c r="A180" s="633"/>
      <c r="B180" s="819"/>
      <c r="C180" s="820"/>
      <c r="D180" s="820"/>
      <c r="E180" s="820"/>
      <c r="F180" s="820"/>
      <c r="G180" s="820"/>
      <c r="H180" s="821"/>
      <c r="I180" s="828"/>
      <c r="J180" s="829"/>
      <c r="K180" s="829"/>
      <c r="L180" s="829"/>
      <c r="M180" s="830"/>
      <c r="N180" s="828"/>
      <c r="O180" s="829"/>
      <c r="P180" s="829"/>
      <c r="Q180" s="829"/>
      <c r="R180" s="830"/>
      <c r="S180" s="828"/>
      <c r="T180" s="829"/>
      <c r="U180" s="829"/>
      <c r="V180" s="829"/>
      <c r="W180" s="830"/>
      <c r="X180" s="367"/>
      <c r="AE180" s="640"/>
      <c r="AF180" s="640"/>
      <c r="AH180" s="641"/>
    </row>
    <row r="181" spans="1:34" ht="12.75">
      <c r="A181" s="633"/>
      <c r="B181" s="819"/>
      <c r="C181" s="820"/>
      <c r="D181" s="820"/>
      <c r="E181" s="820"/>
      <c r="F181" s="820"/>
      <c r="G181" s="820"/>
      <c r="H181" s="821"/>
      <c r="I181" s="831"/>
      <c r="J181" s="832"/>
      <c r="K181" s="832"/>
      <c r="L181" s="832"/>
      <c r="M181" s="833"/>
      <c r="N181" s="831"/>
      <c r="O181" s="832"/>
      <c r="P181" s="832"/>
      <c r="Q181" s="832"/>
      <c r="R181" s="833"/>
      <c r="S181" s="831"/>
      <c r="T181" s="832"/>
      <c r="U181" s="832"/>
      <c r="V181" s="832"/>
      <c r="W181" s="833"/>
      <c r="X181" s="367"/>
      <c r="Y181" s="12"/>
      <c r="Z181" s="243"/>
      <c r="AB181" s="277"/>
      <c r="AC181" s="12"/>
      <c r="AD181" s="12"/>
      <c r="AE181" s="640"/>
      <c r="AF181" s="640"/>
      <c r="AH181" s="641"/>
    </row>
    <row r="182" spans="1:34" ht="12.75" customHeight="1">
      <c r="A182" s="633"/>
      <c r="B182" s="819"/>
      <c r="C182" s="820"/>
      <c r="D182" s="820"/>
      <c r="E182" s="820"/>
      <c r="F182" s="820"/>
      <c r="G182" s="820"/>
      <c r="H182" s="821"/>
      <c r="I182" s="838">
        <f>IF(Y183=0,IF(FIO="","",0),"")</f>
      </c>
      <c r="J182" s="838"/>
      <c r="K182" s="838"/>
      <c r="L182" s="838"/>
      <c r="M182" s="838"/>
      <c r="N182" s="839"/>
      <c r="O182" s="839"/>
      <c r="P182" s="839"/>
      <c r="Q182" s="839"/>
      <c r="R182" s="839"/>
      <c r="S182" s="839"/>
      <c r="T182" s="839"/>
      <c r="U182" s="839"/>
      <c r="V182" s="839"/>
      <c r="W182" s="839"/>
      <c r="X182" s="367"/>
      <c r="Z182" s="251" t="s">
        <v>208</v>
      </c>
      <c r="AE182" s="640"/>
      <c r="AF182" s="640"/>
      <c r="AH182" s="641"/>
    </row>
    <row r="183" spans="1:34" ht="12.75" customHeight="1">
      <c r="A183" s="634"/>
      <c r="B183" s="822"/>
      <c r="C183" s="823"/>
      <c r="D183" s="823"/>
      <c r="E183" s="823"/>
      <c r="F183" s="823"/>
      <c r="G183" s="823"/>
      <c r="H183" s="824"/>
      <c r="I183" s="838"/>
      <c r="J183" s="838"/>
      <c r="K183" s="838"/>
      <c r="L183" s="838"/>
      <c r="M183" s="838"/>
      <c r="N183" s="839"/>
      <c r="O183" s="839"/>
      <c r="P183" s="839"/>
      <c r="Q183" s="839"/>
      <c r="R183" s="839"/>
      <c r="S183" s="839"/>
      <c r="T183" s="839"/>
      <c r="U183" s="839"/>
      <c r="V183" s="839"/>
      <c r="W183" s="839"/>
      <c r="X183" s="367"/>
      <c r="Y183" s="267">
        <f>MAX(N182:W183)</f>
        <v>0</v>
      </c>
      <c r="Z183" s="253">
        <v>20</v>
      </c>
      <c r="AE183" s="640"/>
      <c r="AF183" s="640"/>
      <c r="AH183" s="641"/>
    </row>
    <row r="184" spans="1:34" ht="12.75" customHeight="1">
      <c r="A184" s="632" t="s">
        <v>413</v>
      </c>
      <c r="B184" s="816" t="s">
        <v>661</v>
      </c>
      <c r="C184" s="817"/>
      <c r="D184" s="817"/>
      <c r="E184" s="817"/>
      <c r="F184" s="817"/>
      <c r="G184" s="817"/>
      <c r="H184" s="818"/>
      <c r="I184" s="825" t="s">
        <v>662</v>
      </c>
      <c r="J184" s="826"/>
      <c r="K184" s="826"/>
      <c r="L184" s="826"/>
      <c r="M184" s="827"/>
      <c r="N184" s="825" t="s">
        <v>663</v>
      </c>
      <c r="O184" s="826"/>
      <c r="P184" s="826"/>
      <c r="Q184" s="826"/>
      <c r="R184" s="827"/>
      <c r="S184" s="825" t="s">
        <v>664</v>
      </c>
      <c r="T184" s="826"/>
      <c r="U184" s="826"/>
      <c r="V184" s="826"/>
      <c r="W184" s="827"/>
      <c r="X184" s="367"/>
      <c r="AE184" s="640"/>
      <c r="AF184" s="640"/>
      <c r="AH184" s="641"/>
    </row>
    <row r="185" spans="1:34" ht="12.75" customHeight="1">
      <c r="A185" s="633"/>
      <c r="B185" s="819"/>
      <c r="C185" s="820"/>
      <c r="D185" s="820"/>
      <c r="E185" s="820"/>
      <c r="F185" s="820"/>
      <c r="G185" s="820"/>
      <c r="H185" s="821"/>
      <c r="I185" s="828"/>
      <c r="J185" s="829"/>
      <c r="K185" s="829"/>
      <c r="L185" s="829"/>
      <c r="M185" s="830"/>
      <c r="N185" s="828"/>
      <c r="O185" s="829"/>
      <c r="P185" s="829"/>
      <c r="Q185" s="829"/>
      <c r="R185" s="830"/>
      <c r="S185" s="828"/>
      <c r="T185" s="829"/>
      <c r="U185" s="829"/>
      <c r="V185" s="829"/>
      <c r="W185" s="830"/>
      <c r="X185" s="367"/>
      <c r="AE185" s="640"/>
      <c r="AF185" s="640"/>
      <c r="AH185" s="641"/>
    </row>
    <row r="186" spans="1:34" ht="15" customHeight="1">
      <c r="A186" s="633"/>
      <c r="B186" s="819"/>
      <c r="C186" s="820"/>
      <c r="D186" s="820"/>
      <c r="E186" s="820"/>
      <c r="F186" s="820"/>
      <c r="G186" s="820"/>
      <c r="H186" s="821"/>
      <c r="I186" s="828"/>
      <c r="J186" s="829"/>
      <c r="K186" s="829"/>
      <c r="L186" s="829"/>
      <c r="M186" s="830"/>
      <c r="N186" s="828"/>
      <c r="O186" s="829"/>
      <c r="P186" s="829"/>
      <c r="Q186" s="829"/>
      <c r="R186" s="830"/>
      <c r="S186" s="828"/>
      <c r="T186" s="829"/>
      <c r="U186" s="829"/>
      <c r="V186" s="829"/>
      <c r="W186" s="830"/>
      <c r="X186" s="367"/>
      <c r="AE186" s="640"/>
      <c r="AF186" s="640"/>
      <c r="AH186" s="641"/>
    </row>
    <row r="187" spans="1:34" ht="15" customHeight="1">
      <c r="A187" s="633"/>
      <c r="B187" s="840" t="s">
        <v>283</v>
      </c>
      <c r="C187" s="841"/>
      <c r="D187" s="841"/>
      <c r="E187" s="841"/>
      <c r="F187" s="841"/>
      <c r="G187" s="841"/>
      <c r="H187" s="842"/>
      <c r="I187" s="828"/>
      <c r="J187" s="829"/>
      <c r="K187" s="829"/>
      <c r="L187" s="829"/>
      <c r="M187" s="830"/>
      <c r="N187" s="828"/>
      <c r="O187" s="829"/>
      <c r="P187" s="829"/>
      <c r="Q187" s="829"/>
      <c r="R187" s="830"/>
      <c r="S187" s="828"/>
      <c r="T187" s="829"/>
      <c r="U187" s="829"/>
      <c r="V187" s="829"/>
      <c r="W187" s="830"/>
      <c r="X187" s="367"/>
      <c r="AE187" s="640"/>
      <c r="AF187" s="640"/>
      <c r="AH187" s="641"/>
    </row>
    <row r="188" spans="1:34" ht="63" customHeight="1">
      <c r="A188" s="633"/>
      <c r="B188" s="840"/>
      <c r="C188" s="841"/>
      <c r="D188" s="841"/>
      <c r="E188" s="841"/>
      <c r="F188" s="841"/>
      <c r="G188" s="841"/>
      <c r="H188" s="842"/>
      <c r="I188" s="831"/>
      <c r="J188" s="832"/>
      <c r="K188" s="832"/>
      <c r="L188" s="832"/>
      <c r="M188" s="833"/>
      <c r="N188" s="831"/>
      <c r="O188" s="832"/>
      <c r="P188" s="832"/>
      <c r="Q188" s="832"/>
      <c r="R188" s="833"/>
      <c r="S188" s="831"/>
      <c r="T188" s="832"/>
      <c r="U188" s="832"/>
      <c r="V188" s="832"/>
      <c r="W188" s="833"/>
      <c r="X188" s="367"/>
      <c r="Y188" s="12"/>
      <c r="Z188" s="243"/>
      <c r="AB188" s="277"/>
      <c r="AC188" s="12"/>
      <c r="AD188" s="12"/>
      <c r="AE188" s="640"/>
      <c r="AF188" s="640"/>
      <c r="AH188" s="641"/>
    </row>
    <row r="189" spans="1:34" ht="14.25" customHeight="1">
      <c r="A189" s="633"/>
      <c r="B189" s="840"/>
      <c r="C189" s="841"/>
      <c r="D189" s="841"/>
      <c r="E189" s="841"/>
      <c r="F189" s="841"/>
      <c r="G189" s="841"/>
      <c r="H189" s="842"/>
      <c r="I189" s="838">
        <f>IF(Y190=0,IF(FIO="","",0),"")</f>
      </c>
      <c r="J189" s="838"/>
      <c r="K189" s="838"/>
      <c r="L189" s="838"/>
      <c r="M189" s="838"/>
      <c r="N189" s="839"/>
      <c r="O189" s="839"/>
      <c r="P189" s="839"/>
      <c r="Q189" s="839"/>
      <c r="R189" s="839"/>
      <c r="S189" s="839"/>
      <c r="T189" s="839"/>
      <c r="U189" s="839"/>
      <c r="V189" s="839"/>
      <c r="W189" s="839"/>
      <c r="X189" s="367"/>
      <c r="Z189" s="251" t="s">
        <v>208</v>
      </c>
      <c r="AE189" s="640"/>
      <c r="AF189" s="640"/>
      <c r="AH189" s="641"/>
    </row>
    <row r="190" spans="1:34" ht="12.75">
      <c r="A190" s="634"/>
      <c r="B190" s="843"/>
      <c r="C190" s="844"/>
      <c r="D190" s="844"/>
      <c r="E190" s="844"/>
      <c r="F190" s="844"/>
      <c r="G190" s="844"/>
      <c r="H190" s="845"/>
      <c r="I190" s="838"/>
      <c r="J190" s="838"/>
      <c r="K190" s="838"/>
      <c r="L190" s="838"/>
      <c r="M190" s="838"/>
      <c r="N190" s="839"/>
      <c r="O190" s="839"/>
      <c r="P190" s="839"/>
      <c r="Q190" s="839"/>
      <c r="R190" s="839"/>
      <c r="S190" s="839"/>
      <c r="T190" s="839"/>
      <c r="U190" s="839"/>
      <c r="V190" s="839"/>
      <c r="W190" s="839"/>
      <c r="X190" s="367"/>
      <c r="Y190" s="267">
        <f>MAX(N189:W190)</f>
        <v>0</v>
      </c>
      <c r="Z190" s="253">
        <v>20</v>
      </c>
      <c r="AE190" s="640"/>
      <c r="AF190" s="640"/>
      <c r="AH190" s="641"/>
    </row>
    <row r="191" spans="1:34" ht="12.75" customHeight="1">
      <c r="A191" s="647" t="s">
        <v>414</v>
      </c>
      <c r="B191" s="849" t="s">
        <v>667</v>
      </c>
      <c r="C191" s="850"/>
      <c r="D191" s="850"/>
      <c r="E191" s="850"/>
      <c r="F191" s="850"/>
      <c r="G191" s="850"/>
      <c r="H191" s="851"/>
      <c r="I191" s="825" t="s">
        <v>669</v>
      </c>
      <c r="J191" s="826"/>
      <c r="K191" s="826"/>
      <c r="L191" s="826"/>
      <c r="M191" s="827"/>
      <c r="N191" s="825" t="s">
        <v>670</v>
      </c>
      <c r="O191" s="826"/>
      <c r="P191" s="826"/>
      <c r="Q191" s="826"/>
      <c r="R191" s="827"/>
      <c r="S191" s="825" t="s">
        <v>671</v>
      </c>
      <c r="T191" s="826"/>
      <c r="U191" s="826"/>
      <c r="V191" s="826"/>
      <c r="W191" s="827"/>
      <c r="X191" s="367"/>
      <c r="AE191" s="640"/>
      <c r="AF191" s="640"/>
      <c r="AH191" s="641"/>
    </row>
    <row r="192" spans="1:34" ht="12.75" customHeight="1">
      <c r="A192" s="648"/>
      <c r="B192" s="852"/>
      <c r="C192" s="853"/>
      <c r="D192" s="853"/>
      <c r="E192" s="853"/>
      <c r="F192" s="853"/>
      <c r="G192" s="853"/>
      <c r="H192" s="854"/>
      <c r="I192" s="828"/>
      <c r="J192" s="829"/>
      <c r="K192" s="829"/>
      <c r="L192" s="829"/>
      <c r="M192" s="830"/>
      <c r="N192" s="828"/>
      <c r="O192" s="829"/>
      <c r="P192" s="829"/>
      <c r="Q192" s="829"/>
      <c r="R192" s="830"/>
      <c r="S192" s="828"/>
      <c r="T192" s="829"/>
      <c r="U192" s="829"/>
      <c r="V192" s="829"/>
      <c r="W192" s="830"/>
      <c r="X192" s="367"/>
      <c r="AE192" s="640"/>
      <c r="AF192" s="640"/>
      <c r="AH192" s="641"/>
    </row>
    <row r="193" spans="1:34" ht="22.5" customHeight="1">
      <c r="A193" s="648"/>
      <c r="B193" s="852"/>
      <c r="C193" s="853"/>
      <c r="D193" s="853"/>
      <c r="E193" s="853"/>
      <c r="F193" s="853"/>
      <c r="G193" s="853"/>
      <c r="H193" s="854"/>
      <c r="I193" s="828"/>
      <c r="J193" s="829"/>
      <c r="K193" s="829"/>
      <c r="L193" s="829"/>
      <c r="M193" s="830"/>
      <c r="N193" s="828"/>
      <c r="O193" s="829"/>
      <c r="P193" s="829"/>
      <c r="Q193" s="829"/>
      <c r="R193" s="830"/>
      <c r="S193" s="828"/>
      <c r="T193" s="829"/>
      <c r="U193" s="829"/>
      <c r="V193" s="829"/>
      <c r="W193" s="830"/>
      <c r="X193" s="367"/>
      <c r="AE193" s="640"/>
      <c r="AF193" s="640"/>
      <c r="AH193" s="641"/>
    </row>
    <row r="194" spans="1:34" ht="3.75" customHeight="1">
      <c r="A194" s="633"/>
      <c r="B194" s="840" t="s">
        <v>668</v>
      </c>
      <c r="C194" s="841"/>
      <c r="D194" s="841"/>
      <c r="E194" s="841"/>
      <c r="F194" s="841"/>
      <c r="G194" s="841"/>
      <c r="H194" s="842"/>
      <c r="I194" s="828"/>
      <c r="J194" s="829"/>
      <c r="K194" s="829"/>
      <c r="L194" s="829"/>
      <c r="M194" s="830"/>
      <c r="N194" s="828"/>
      <c r="O194" s="829"/>
      <c r="P194" s="829"/>
      <c r="Q194" s="829"/>
      <c r="R194" s="830"/>
      <c r="S194" s="828"/>
      <c r="T194" s="829"/>
      <c r="U194" s="829"/>
      <c r="V194" s="829"/>
      <c r="W194" s="830"/>
      <c r="X194" s="367"/>
      <c r="AE194" s="640"/>
      <c r="AF194" s="640"/>
      <c r="AH194" s="641"/>
    </row>
    <row r="195" spans="1:34" ht="3" customHeight="1">
      <c r="A195" s="633"/>
      <c r="B195" s="840"/>
      <c r="C195" s="841"/>
      <c r="D195" s="841"/>
      <c r="E195" s="841"/>
      <c r="F195" s="841"/>
      <c r="G195" s="841"/>
      <c r="H195" s="842"/>
      <c r="I195" s="831"/>
      <c r="J195" s="832"/>
      <c r="K195" s="832"/>
      <c r="L195" s="832"/>
      <c r="M195" s="833"/>
      <c r="N195" s="831"/>
      <c r="O195" s="832"/>
      <c r="P195" s="832"/>
      <c r="Q195" s="832"/>
      <c r="R195" s="833"/>
      <c r="S195" s="831"/>
      <c r="T195" s="832"/>
      <c r="U195" s="832"/>
      <c r="V195" s="832"/>
      <c r="W195" s="833"/>
      <c r="X195" s="367"/>
      <c r="Y195" s="12"/>
      <c r="Z195" s="243"/>
      <c r="AB195" s="277"/>
      <c r="AC195" s="12"/>
      <c r="AD195" s="12"/>
      <c r="AE195" s="640"/>
      <c r="AF195" s="640"/>
      <c r="AH195" s="641"/>
    </row>
    <row r="196" spans="1:34" ht="12.75">
      <c r="A196" s="633"/>
      <c r="B196" s="840"/>
      <c r="C196" s="841"/>
      <c r="D196" s="841"/>
      <c r="E196" s="841"/>
      <c r="F196" s="841"/>
      <c r="G196" s="841"/>
      <c r="H196" s="842"/>
      <c r="I196" s="838">
        <f>IF(Y197=0,IF(FIO="","",0),"")</f>
      </c>
      <c r="J196" s="838"/>
      <c r="K196" s="838"/>
      <c r="L196" s="838"/>
      <c r="M196" s="838"/>
      <c r="N196" s="839"/>
      <c r="O196" s="839"/>
      <c r="P196" s="839"/>
      <c r="Q196" s="839"/>
      <c r="R196" s="839"/>
      <c r="S196" s="839"/>
      <c r="T196" s="839"/>
      <c r="U196" s="839"/>
      <c r="V196" s="839"/>
      <c r="W196" s="839"/>
      <c r="X196" s="367"/>
      <c r="Z196" s="251" t="s">
        <v>208</v>
      </c>
      <c r="AE196" s="640"/>
      <c r="AF196" s="640"/>
      <c r="AH196" s="641"/>
    </row>
    <row r="197" spans="1:34" ht="12.75">
      <c r="A197" s="634"/>
      <c r="B197" s="843"/>
      <c r="C197" s="844"/>
      <c r="D197" s="844"/>
      <c r="E197" s="844"/>
      <c r="F197" s="844"/>
      <c r="G197" s="844"/>
      <c r="H197" s="845"/>
      <c r="I197" s="838"/>
      <c r="J197" s="838"/>
      <c r="K197" s="838"/>
      <c r="L197" s="838"/>
      <c r="M197" s="838"/>
      <c r="N197" s="839"/>
      <c r="O197" s="839"/>
      <c r="P197" s="839"/>
      <c r="Q197" s="839"/>
      <c r="R197" s="839"/>
      <c r="S197" s="839"/>
      <c r="T197" s="839"/>
      <c r="U197" s="839"/>
      <c r="V197" s="839"/>
      <c r="W197" s="839"/>
      <c r="X197" s="367"/>
      <c r="Y197" s="267">
        <f>MAX(N196:W197)</f>
        <v>0</v>
      </c>
      <c r="Z197" s="253">
        <v>20</v>
      </c>
      <c r="AE197" s="640"/>
      <c r="AF197" s="640"/>
      <c r="AH197" s="641"/>
    </row>
    <row r="198" spans="1:34" ht="12.75" customHeight="1">
      <c r="A198" s="632" t="s">
        <v>672</v>
      </c>
      <c r="B198" s="816" t="s">
        <v>674</v>
      </c>
      <c r="C198" s="817"/>
      <c r="D198" s="817"/>
      <c r="E198" s="817"/>
      <c r="F198" s="817"/>
      <c r="G198" s="817"/>
      <c r="H198" s="818"/>
      <c r="I198" s="825" t="s">
        <v>657</v>
      </c>
      <c r="J198" s="826"/>
      <c r="K198" s="826"/>
      <c r="L198" s="826"/>
      <c r="M198" s="827"/>
      <c r="N198" s="825" t="s">
        <v>658</v>
      </c>
      <c r="O198" s="826"/>
      <c r="P198" s="826"/>
      <c r="Q198" s="826"/>
      <c r="R198" s="827"/>
      <c r="S198" s="825" t="s">
        <v>675</v>
      </c>
      <c r="T198" s="826"/>
      <c r="U198" s="826"/>
      <c r="V198" s="826"/>
      <c r="W198" s="827"/>
      <c r="X198" s="367"/>
      <c r="AE198" s="640"/>
      <c r="AF198" s="640"/>
      <c r="AH198" s="641"/>
    </row>
    <row r="199" spans="1:34" ht="12.75" customHeight="1">
      <c r="A199" s="633"/>
      <c r="B199" s="819"/>
      <c r="C199" s="820"/>
      <c r="D199" s="820"/>
      <c r="E199" s="820"/>
      <c r="F199" s="820"/>
      <c r="G199" s="820"/>
      <c r="H199" s="821"/>
      <c r="I199" s="828"/>
      <c r="J199" s="829"/>
      <c r="K199" s="829"/>
      <c r="L199" s="829"/>
      <c r="M199" s="830"/>
      <c r="N199" s="828"/>
      <c r="O199" s="829"/>
      <c r="P199" s="829"/>
      <c r="Q199" s="829"/>
      <c r="R199" s="830"/>
      <c r="S199" s="828"/>
      <c r="T199" s="829"/>
      <c r="U199" s="829"/>
      <c r="V199" s="829"/>
      <c r="W199" s="830"/>
      <c r="X199" s="367"/>
      <c r="AE199" s="640"/>
      <c r="AF199" s="640"/>
      <c r="AH199" s="641"/>
    </row>
    <row r="200" spans="1:34" ht="12.75" customHeight="1">
      <c r="A200" s="633"/>
      <c r="B200" s="819"/>
      <c r="C200" s="820"/>
      <c r="D200" s="820"/>
      <c r="E200" s="820"/>
      <c r="F200" s="820"/>
      <c r="G200" s="820"/>
      <c r="H200" s="821"/>
      <c r="I200" s="828"/>
      <c r="J200" s="829"/>
      <c r="K200" s="829"/>
      <c r="L200" s="829"/>
      <c r="M200" s="830"/>
      <c r="N200" s="828"/>
      <c r="O200" s="829"/>
      <c r="P200" s="829"/>
      <c r="Q200" s="829"/>
      <c r="R200" s="830"/>
      <c r="S200" s="828"/>
      <c r="T200" s="829"/>
      <c r="U200" s="829"/>
      <c r="V200" s="829"/>
      <c r="W200" s="830"/>
      <c r="X200" s="367"/>
      <c r="AE200" s="640"/>
      <c r="AF200" s="640"/>
      <c r="AH200" s="641"/>
    </row>
    <row r="201" spans="1:34" ht="12.75" customHeight="1">
      <c r="A201" s="633"/>
      <c r="B201" s="819"/>
      <c r="C201" s="820"/>
      <c r="D201" s="820"/>
      <c r="E201" s="820"/>
      <c r="F201" s="820"/>
      <c r="G201" s="820"/>
      <c r="H201" s="821"/>
      <c r="I201" s="828"/>
      <c r="J201" s="829"/>
      <c r="K201" s="829"/>
      <c r="L201" s="829"/>
      <c r="M201" s="830"/>
      <c r="N201" s="828"/>
      <c r="O201" s="829"/>
      <c r="P201" s="829"/>
      <c r="Q201" s="829"/>
      <c r="R201" s="830"/>
      <c r="S201" s="828"/>
      <c r="T201" s="829"/>
      <c r="U201" s="829"/>
      <c r="V201" s="829"/>
      <c r="W201" s="830"/>
      <c r="X201" s="367"/>
      <c r="AE201" s="640"/>
      <c r="AF201" s="640"/>
      <c r="AH201" s="641"/>
    </row>
    <row r="202" spans="1:34" ht="27.75" customHeight="1">
      <c r="A202" s="633"/>
      <c r="B202" s="819"/>
      <c r="C202" s="820"/>
      <c r="D202" s="820"/>
      <c r="E202" s="820"/>
      <c r="F202" s="820"/>
      <c r="G202" s="820"/>
      <c r="H202" s="821"/>
      <c r="I202" s="831"/>
      <c r="J202" s="832"/>
      <c r="K202" s="832"/>
      <c r="L202" s="832"/>
      <c r="M202" s="833"/>
      <c r="N202" s="831"/>
      <c r="O202" s="832"/>
      <c r="P202" s="832"/>
      <c r="Q202" s="832"/>
      <c r="R202" s="833"/>
      <c r="S202" s="831"/>
      <c r="T202" s="832"/>
      <c r="U202" s="832"/>
      <c r="V202" s="832"/>
      <c r="W202" s="833"/>
      <c r="X202" s="367"/>
      <c r="Y202" s="12"/>
      <c r="Z202" s="243"/>
      <c r="AB202" s="277"/>
      <c r="AC202" s="12"/>
      <c r="AD202" s="12"/>
      <c r="AE202" s="640"/>
      <c r="AF202" s="640"/>
      <c r="AH202" s="641"/>
    </row>
    <row r="203" spans="1:34" ht="12.75" customHeight="1">
      <c r="A203" s="633"/>
      <c r="B203" s="819"/>
      <c r="C203" s="820"/>
      <c r="D203" s="820"/>
      <c r="E203" s="820"/>
      <c r="F203" s="820"/>
      <c r="G203" s="820"/>
      <c r="H203" s="821"/>
      <c r="I203" s="838">
        <f>IF(Y204=0,IF(FIO="","",0),"")</f>
      </c>
      <c r="J203" s="838"/>
      <c r="K203" s="838"/>
      <c r="L203" s="838"/>
      <c r="M203" s="838"/>
      <c r="N203" s="839"/>
      <c r="O203" s="839"/>
      <c r="P203" s="839"/>
      <c r="Q203" s="839"/>
      <c r="R203" s="839"/>
      <c r="S203" s="839"/>
      <c r="T203" s="839"/>
      <c r="U203" s="839"/>
      <c r="V203" s="839"/>
      <c r="W203" s="839"/>
      <c r="X203" s="367"/>
      <c r="Z203" s="251" t="s">
        <v>208</v>
      </c>
      <c r="AE203" s="640"/>
      <c r="AF203" s="640"/>
      <c r="AH203" s="641"/>
    </row>
    <row r="204" spans="1:34" ht="12.75" customHeight="1">
      <c r="A204" s="634"/>
      <c r="B204" s="822"/>
      <c r="C204" s="823"/>
      <c r="D204" s="823"/>
      <c r="E204" s="823"/>
      <c r="F204" s="823"/>
      <c r="G204" s="823"/>
      <c r="H204" s="824"/>
      <c r="I204" s="838"/>
      <c r="J204" s="838"/>
      <c r="K204" s="838"/>
      <c r="L204" s="838"/>
      <c r="M204" s="838"/>
      <c r="N204" s="839"/>
      <c r="O204" s="839"/>
      <c r="P204" s="839"/>
      <c r="Q204" s="839"/>
      <c r="R204" s="839"/>
      <c r="S204" s="839"/>
      <c r="T204" s="839"/>
      <c r="U204" s="839"/>
      <c r="V204" s="839"/>
      <c r="W204" s="839"/>
      <c r="X204" s="367"/>
      <c r="Y204" s="267">
        <f>MAX(N203:W204)</f>
        <v>0</v>
      </c>
      <c r="Z204" s="253">
        <v>20</v>
      </c>
      <c r="AE204" s="640"/>
      <c r="AF204" s="640"/>
      <c r="AH204" s="641"/>
    </row>
    <row r="205" spans="1:34" ht="12.75" customHeight="1">
      <c r="A205" s="813" t="s">
        <v>673</v>
      </c>
      <c r="B205" s="816" t="s">
        <v>676</v>
      </c>
      <c r="C205" s="817"/>
      <c r="D205" s="817"/>
      <c r="E205" s="817"/>
      <c r="F205" s="817"/>
      <c r="G205" s="817"/>
      <c r="H205" s="818"/>
      <c r="I205" s="825" t="s">
        <v>657</v>
      </c>
      <c r="J205" s="826"/>
      <c r="K205" s="826"/>
      <c r="L205" s="826"/>
      <c r="M205" s="827"/>
      <c r="N205" s="825" t="s">
        <v>658</v>
      </c>
      <c r="O205" s="826"/>
      <c r="P205" s="826"/>
      <c r="Q205" s="826"/>
      <c r="R205" s="827"/>
      <c r="S205" s="825" t="s">
        <v>659</v>
      </c>
      <c r="T205" s="826"/>
      <c r="U205" s="826"/>
      <c r="V205" s="826"/>
      <c r="W205" s="827"/>
      <c r="X205" s="367"/>
      <c r="AE205" s="640"/>
      <c r="AF205" s="640"/>
      <c r="AH205" s="641"/>
    </row>
    <row r="206" spans="1:34" ht="12" customHeight="1">
      <c r="A206" s="814"/>
      <c r="B206" s="819"/>
      <c r="C206" s="820"/>
      <c r="D206" s="820"/>
      <c r="E206" s="820"/>
      <c r="F206" s="820"/>
      <c r="G206" s="820"/>
      <c r="H206" s="821"/>
      <c r="I206" s="828"/>
      <c r="J206" s="829"/>
      <c r="K206" s="829"/>
      <c r="L206" s="829"/>
      <c r="M206" s="830"/>
      <c r="N206" s="828"/>
      <c r="O206" s="829"/>
      <c r="P206" s="829"/>
      <c r="Q206" s="829"/>
      <c r="R206" s="830"/>
      <c r="S206" s="828"/>
      <c r="T206" s="829"/>
      <c r="U206" s="829"/>
      <c r="V206" s="829"/>
      <c r="W206" s="830"/>
      <c r="X206" s="367"/>
      <c r="AE206" s="640"/>
      <c r="AF206" s="640"/>
      <c r="AH206" s="641"/>
    </row>
    <row r="207" spans="1:34" ht="12.75" customHeight="1" hidden="1">
      <c r="A207" s="814"/>
      <c r="B207" s="819"/>
      <c r="C207" s="820"/>
      <c r="D207" s="820"/>
      <c r="E207" s="820"/>
      <c r="F207" s="820"/>
      <c r="G207" s="820"/>
      <c r="H207" s="821"/>
      <c r="I207" s="828"/>
      <c r="J207" s="829"/>
      <c r="K207" s="829"/>
      <c r="L207" s="829"/>
      <c r="M207" s="830"/>
      <c r="N207" s="828"/>
      <c r="O207" s="829"/>
      <c r="P207" s="829"/>
      <c r="Q207" s="829"/>
      <c r="R207" s="830"/>
      <c r="S207" s="828"/>
      <c r="T207" s="829"/>
      <c r="U207" s="829"/>
      <c r="V207" s="829"/>
      <c r="W207" s="830"/>
      <c r="X207" s="367"/>
      <c r="AE207" s="640"/>
      <c r="AF207" s="640"/>
      <c r="AH207" s="641"/>
    </row>
    <row r="208" spans="1:34" ht="6.75" customHeight="1" hidden="1">
      <c r="A208" s="814"/>
      <c r="B208" s="819"/>
      <c r="C208" s="820"/>
      <c r="D208" s="820"/>
      <c r="E208" s="820"/>
      <c r="F208" s="820"/>
      <c r="G208" s="820"/>
      <c r="H208" s="821"/>
      <c r="I208" s="828"/>
      <c r="J208" s="829"/>
      <c r="K208" s="829"/>
      <c r="L208" s="829"/>
      <c r="M208" s="830"/>
      <c r="N208" s="828"/>
      <c r="O208" s="829"/>
      <c r="P208" s="829"/>
      <c r="Q208" s="829"/>
      <c r="R208" s="830"/>
      <c r="S208" s="828"/>
      <c r="T208" s="829"/>
      <c r="U208" s="829"/>
      <c r="V208" s="829"/>
      <c r="W208" s="830"/>
      <c r="X208" s="367"/>
      <c r="AE208" s="640"/>
      <c r="AF208" s="640"/>
      <c r="AH208" s="641"/>
    </row>
    <row r="209" spans="1:34" ht="15.75" customHeight="1">
      <c r="A209" s="814"/>
      <c r="B209" s="819"/>
      <c r="C209" s="820"/>
      <c r="D209" s="820"/>
      <c r="E209" s="820"/>
      <c r="F209" s="820"/>
      <c r="G209" s="820"/>
      <c r="H209" s="821"/>
      <c r="I209" s="831"/>
      <c r="J209" s="832"/>
      <c r="K209" s="832"/>
      <c r="L209" s="832"/>
      <c r="M209" s="833"/>
      <c r="N209" s="831"/>
      <c r="O209" s="832"/>
      <c r="P209" s="832"/>
      <c r="Q209" s="832"/>
      <c r="R209" s="833"/>
      <c r="S209" s="831"/>
      <c r="T209" s="832"/>
      <c r="U209" s="832"/>
      <c r="V209" s="832"/>
      <c r="W209" s="833"/>
      <c r="X209" s="367"/>
      <c r="Y209" s="12"/>
      <c r="Z209" s="243"/>
      <c r="AB209" s="277"/>
      <c r="AC209" s="12"/>
      <c r="AD209" s="12"/>
      <c r="AE209" s="640"/>
      <c r="AF209" s="640"/>
      <c r="AH209" s="641"/>
    </row>
    <row r="210" spans="1:34" ht="12.75" customHeight="1">
      <c r="A210" s="814"/>
      <c r="B210" s="819"/>
      <c r="C210" s="820"/>
      <c r="D210" s="820"/>
      <c r="E210" s="820"/>
      <c r="F210" s="820"/>
      <c r="G210" s="820"/>
      <c r="H210" s="821"/>
      <c r="I210" s="838">
        <f>IF(Y211=0,IF(FIO="","",0),"")</f>
      </c>
      <c r="J210" s="838"/>
      <c r="K210" s="838"/>
      <c r="L210" s="838"/>
      <c r="M210" s="838"/>
      <c r="N210" s="839"/>
      <c r="O210" s="839"/>
      <c r="P210" s="839"/>
      <c r="Q210" s="839"/>
      <c r="R210" s="839"/>
      <c r="S210" s="839"/>
      <c r="T210" s="839"/>
      <c r="U210" s="839"/>
      <c r="V210" s="839"/>
      <c r="W210" s="839"/>
      <c r="X210" s="367"/>
      <c r="Z210" s="251" t="s">
        <v>208</v>
      </c>
      <c r="AE210" s="640"/>
      <c r="AF210" s="640"/>
      <c r="AH210" s="641"/>
    </row>
    <row r="211" spans="1:34" ht="12.75" customHeight="1">
      <c r="A211" s="815"/>
      <c r="B211" s="822"/>
      <c r="C211" s="823"/>
      <c r="D211" s="823"/>
      <c r="E211" s="823"/>
      <c r="F211" s="823"/>
      <c r="G211" s="823"/>
      <c r="H211" s="824"/>
      <c r="I211" s="838"/>
      <c r="J211" s="838"/>
      <c r="K211" s="838"/>
      <c r="L211" s="838"/>
      <c r="M211" s="838"/>
      <c r="N211" s="839"/>
      <c r="O211" s="839"/>
      <c r="P211" s="839"/>
      <c r="Q211" s="839"/>
      <c r="R211" s="839"/>
      <c r="S211" s="839"/>
      <c r="T211" s="839"/>
      <c r="U211" s="839"/>
      <c r="V211" s="839"/>
      <c r="W211" s="839"/>
      <c r="X211" s="367"/>
      <c r="Y211" s="267">
        <f>MAX(N210:W211)</f>
        <v>0</v>
      </c>
      <c r="Z211" s="253">
        <v>20</v>
      </c>
      <c r="AE211" s="640"/>
      <c r="AF211" s="640"/>
      <c r="AH211" s="641"/>
    </row>
    <row r="212" spans="1:34" ht="12.75" customHeight="1">
      <c r="A212" s="632" t="s">
        <v>677</v>
      </c>
      <c r="B212" s="816" t="s">
        <v>679</v>
      </c>
      <c r="C212" s="817"/>
      <c r="D212" s="817"/>
      <c r="E212" s="817"/>
      <c r="F212" s="817"/>
      <c r="G212" s="817"/>
      <c r="H212" s="818"/>
      <c r="I212" s="825" t="s">
        <v>680</v>
      </c>
      <c r="J212" s="826"/>
      <c r="K212" s="826"/>
      <c r="L212" s="826"/>
      <c r="M212" s="827"/>
      <c r="N212" s="825" t="s">
        <v>681</v>
      </c>
      <c r="O212" s="826"/>
      <c r="P212" s="826"/>
      <c r="Q212" s="826"/>
      <c r="R212" s="827"/>
      <c r="S212" s="825" t="s">
        <v>682</v>
      </c>
      <c r="T212" s="826"/>
      <c r="U212" s="826"/>
      <c r="V212" s="826"/>
      <c r="W212" s="827"/>
      <c r="X212" s="367"/>
      <c r="AE212" s="640"/>
      <c r="AF212" s="640"/>
      <c r="AH212" s="641"/>
    </row>
    <row r="213" spans="1:34" ht="12.75" customHeight="1">
      <c r="A213" s="633"/>
      <c r="B213" s="819"/>
      <c r="C213" s="820"/>
      <c r="D213" s="820"/>
      <c r="E213" s="820"/>
      <c r="F213" s="820"/>
      <c r="G213" s="820"/>
      <c r="H213" s="821"/>
      <c r="I213" s="828"/>
      <c r="J213" s="829"/>
      <c r="K213" s="829"/>
      <c r="L213" s="829"/>
      <c r="M213" s="830"/>
      <c r="N213" s="828"/>
      <c r="O213" s="829"/>
      <c r="P213" s="829"/>
      <c r="Q213" s="829"/>
      <c r="R213" s="830"/>
      <c r="S213" s="828"/>
      <c r="T213" s="829"/>
      <c r="U213" s="829"/>
      <c r="V213" s="829"/>
      <c r="W213" s="830"/>
      <c r="X213" s="367"/>
      <c r="AE213" s="640"/>
      <c r="AF213" s="640"/>
      <c r="AH213" s="641"/>
    </row>
    <row r="214" spans="1:34" ht="12.75" customHeight="1">
      <c r="A214" s="633"/>
      <c r="B214" s="819"/>
      <c r="C214" s="820"/>
      <c r="D214" s="820"/>
      <c r="E214" s="820"/>
      <c r="F214" s="820"/>
      <c r="G214" s="820"/>
      <c r="H214" s="821"/>
      <c r="I214" s="828"/>
      <c r="J214" s="829"/>
      <c r="K214" s="829"/>
      <c r="L214" s="829"/>
      <c r="M214" s="830"/>
      <c r="N214" s="828"/>
      <c r="O214" s="829"/>
      <c r="P214" s="829"/>
      <c r="Q214" s="829"/>
      <c r="R214" s="830"/>
      <c r="S214" s="828"/>
      <c r="T214" s="829"/>
      <c r="U214" s="829"/>
      <c r="V214" s="829"/>
      <c r="W214" s="830"/>
      <c r="X214" s="367"/>
      <c r="AE214" s="640"/>
      <c r="AF214" s="640"/>
      <c r="AH214" s="641"/>
    </row>
    <row r="215" spans="1:34" ht="12.75" customHeight="1">
      <c r="A215" s="633"/>
      <c r="B215" s="819"/>
      <c r="C215" s="820"/>
      <c r="D215" s="820"/>
      <c r="E215" s="820"/>
      <c r="F215" s="820"/>
      <c r="G215" s="820"/>
      <c r="H215" s="821"/>
      <c r="I215" s="828"/>
      <c r="J215" s="829"/>
      <c r="K215" s="829"/>
      <c r="L215" s="829"/>
      <c r="M215" s="830"/>
      <c r="N215" s="828"/>
      <c r="O215" s="829"/>
      <c r="P215" s="829"/>
      <c r="Q215" s="829"/>
      <c r="R215" s="830"/>
      <c r="S215" s="828"/>
      <c r="T215" s="829"/>
      <c r="U215" s="829"/>
      <c r="V215" s="829"/>
      <c r="W215" s="830"/>
      <c r="X215" s="367"/>
      <c r="AE215" s="640"/>
      <c r="AF215" s="640"/>
      <c r="AH215" s="641"/>
    </row>
    <row r="216" spans="1:34" ht="66" customHeight="1">
      <c r="A216" s="633"/>
      <c r="B216" s="819"/>
      <c r="C216" s="820"/>
      <c r="D216" s="820"/>
      <c r="E216" s="820"/>
      <c r="F216" s="820"/>
      <c r="G216" s="820"/>
      <c r="H216" s="821"/>
      <c r="I216" s="831"/>
      <c r="J216" s="832"/>
      <c r="K216" s="832"/>
      <c r="L216" s="832"/>
      <c r="M216" s="833"/>
      <c r="N216" s="831"/>
      <c r="O216" s="832"/>
      <c r="P216" s="832"/>
      <c r="Q216" s="832"/>
      <c r="R216" s="833"/>
      <c r="S216" s="831"/>
      <c r="T216" s="832"/>
      <c r="U216" s="832"/>
      <c r="V216" s="832"/>
      <c r="W216" s="833"/>
      <c r="X216" s="367"/>
      <c r="Y216" s="12"/>
      <c r="Z216" s="243"/>
      <c r="AB216" s="277"/>
      <c r="AC216" s="12"/>
      <c r="AD216" s="12"/>
      <c r="AE216" s="640"/>
      <c r="AF216" s="640"/>
      <c r="AH216" s="641"/>
    </row>
    <row r="217" spans="1:34" ht="12.75" customHeight="1">
      <c r="A217" s="633"/>
      <c r="B217" s="819"/>
      <c r="C217" s="820"/>
      <c r="D217" s="820"/>
      <c r="E217" s="820"/>
      <c r="F217" s="820"/>
      <c r="G217" s="820"/>
      <c r="H217" s="821"/>
      <c r="I217" s="838">
        <f>IF(Y218=0,IF(FIO="","",0),"")</f>
      </c>
      <c r="J217" s="838"/>
      <c r="K217" s="838"/>
      <c r="L217" s="838"/>
      <c r="M217" s="838"/>
      <c r="N217" s="839"/>
      <c r="O217" s="839"/>
      <c r="P217" s="839"/>
      <c r="Q217" s="839"/>
      <c r="R217" s="839"/>
      <c r="S217" s="839"/>
      <c r="T217" s="839"/>
      <c r="U217" s="839"/>
      <c r="V217" s="839"/>
      <c r="W217" s="839"/>
      <c r="X217" s="367"/>
      <c r="Z217" s="251" t="s">
        <v>208</v>
      </c>
      <c r="AE217" s="640"/>
      <c r="AF217" s="640"/>
      <c r="AH217" s="641"/>
    </row>
    <row r="218" spans="1:34" ht="12.75" customHeight="1">
      <c r="A218" s="634"/>
      <c r="B218" s="822"/>
      <c r="C218" s="823"/>
      <c r="D218" s="823"/>
      <c r="E218" s="823"/>
      <c r="F218" s="823"/>
      <c r="G218" s="823"/>
      <c r="H218" s="824"/>
      <c r="I218" s="838"/>
      <c r="J218" s="838"/>
      <c r="K218" s="838"/>
      <c r="L218" s="838"/>
      <c r="M218" s="838"/>
      <c r="N218" s="839"/>
      <c r="O218" s="839"/>
      <c r="P218" s="839"/>
      <c r="Q218" s="839"/>
      <c r="R218" s="839"/>
      <c r="S218" s="839"/>
      <c r="T218" s="839"/>
      <c r="U218" s="839"/>
      <c r="V218" s="839"/>
      <c r="W218" s="839"/>
      <c r="X218" s="367"/>
      <c r="Y218" s="267">
        <f>MAX(N217:W218)</f>
        <v>0</v>
      </c>
      <c r="Z218" s="253">
        <v>20</v>
      </c>
      <c r="AE218" s="640"/>
      <c r="AF218" s="640"/>
      <c r="AH218" s="641"/>
    </row>
    <row r="219" spans="1:34" ht="12.75" customHeight="1">
      <c r="A219" s="632" t="s">
        <v>678</v>
      </c>
      <c r="B219" s="816" t="s">
        <v>683</v>
      </c>
      <c r="C219" s="817"/>
      <c r="D219" s="817"/>
      <c r="E219" s="817"/>
      <c r="F219" s="817"/>
      <c r="G219" s="817"/>
      <c r="H219" s="818"/>
      <c r="I219" s="825" t="s">
        <v>657</v>
      </c>
      <c r="J219" s="826"/>
      <c r="K219" s="826"/>
      <c r="L219" s="826"/>
      <c r="M219" s="827"/>
      <c r="N219" s="825" t="s">
        <v>684</v>
      </c>
      <c r="O219" s="826"/>
      <c r="P219" s="826"/>
      <c r="Q219" s="826"/>
      <c r="R219" s="827"/>
      <c r="S219" s="825" t="s">
        <v>685</v>
      </c>
      <c r="T219" s="826"/>
      <c r="U219" s="826"/>
      <c r="V219" s="826"/>
      <c r="W219" s="827"/>
      <c r="X219" s="367"/>
      <c r="AE219" s="640"/>
      <c r="AF219" s="640"/>
      <c r="AH219" s="641"/>
    </row>
    <row r="220" spans="1:34" ht="12.75" customHeight="1">
      <c r="A220" s="633"/>
      <c r="B220" s="819"/>
      <c r="C220" s="820"/>
      <c r="D220" s="820"/>
      <c r="E220" s="820"/>
      <c r="F220" s="820"/>
      <c r="G220" s="820"/>
      <c r="H220" s="821"/>
      <c r="I220" s="828"/>
      <c r="J220" s="829"/>
      <c r="K220" s="829"/>
      <c r="L220" s="829"/>
      <c r="M220" s="830"/>
      <c r="N220" s="828"/>
      <c r="O220" s="829"/>
      <c r="P220" s="829"/>
      <c r="Q220" s="829"/>
      <c r="R220" s="830"/>
      <c r="S220" s="828"/>
      <c r="T220" s="829"/>
      <c r="U220" s="829"/>
      <c r="V220" s="829"/>
      <c r="W220" s="830"/>
      <c r="X220" s="367"/>
      <c r="AE220" s="640"/>
      <c r="AF220" s="640"/>
      <c r="AH220" s="641"/>
    </row>
    <row r="221" spans="1:34" ht="12.75" customHeight="1">
      <c r="A221" s="633"/>
      <c r="B221" s="819"/>
      <c r="C221" s="820"/>
      <c r="D221" s="820"/>
      <c r="E221" s="820"/>
      <c r="F221" s="820"/>
      <c r="G221" s="820"/>
      <c r="H221" s="821"/>
      <c r="I221" s="828"/>
      <c r="J221" s="829"/>
      <c r="K221" s="829"/>
      <c r="L221" s="829"/>
      <c r="M221" s="830"/>
      <c r="N221" s="828"/>
      <c r="O221" s="829"/>
      <c r="P221" s="829"/>
      <c r="Q221" s="829"/>
      <c r="R221" s="830"/>
      <c r="S221" s="828"/>
      <c r="T221" s="829"/>
      <c r="U221" s="829"/>
      <c r="V221" s="829"/>
      <c r="W221" s="830"/>
      <c r="X221" s="367"/>
      <c r="AE221" s="640"/>
      <c r="AF221" s="640"/>
      <c r="AH221" s="641"/>
    </row>
    <row r="222" spans="1:34" ht="12.75" customHeight="1">
      <c r="A222" s="633"/>
      <c r="B222" s="819"/>
      <c r="C222" s="820"/>
      <c r="D222" s="820"/>
      <c r="E222" s="820"/>
      <c r="F222" s="820"/>
      <c r="G222" s="820"/>
      <c r="H222" s="821"/>
      <c r="I222" s="828"/>
      <c r="J222" s="829"/>
      <c r="K222" s="829"/>
      <c r="L222" s="829"/>
      <c r="M222" s="830"/>
      <c r="N222" s="828"/>
      <c r="O222" s="829"/>
      <c r="P222" s="829"/>
      <c r="Q222" s="829"/>
      <c r="R222" s="830"/>
      <c r="S222" s="828"/>
      <c r="T222" s="829"/>
      <c r="U222" s="829"/>
      <c r="V222" s="829"/>
      <c r="W222" s="830"/>
      <c r="X222" s="367"/>
      <c r="AE222" s="640"/>
      <c r="AF222" s="640"/>
      <c r="AH222" s="641"/>
    </row>
    <row r="223" spans="1:34" ht="27.75" customHeight="1">
      <c r="A223" s="633"/>
      <c r="B223" s="819"/>
      <c r="C223" s="820"/>
      <c r="D223" s="820"/>
      <c r="E223" s="820"/>
      <c r="F223" s="820"/>
      <c r="G223" s="820"/>
      <c r="H223" s="821"/>
      <c r="I223" s="831"/>
      <c r="J223" s="832"/>
      <c r="K223" s="832"/>
      <c r="L223" s="832"/>
      <c r="M223" s="833"/>
      <c r="N223" s="831"/>
      <c r="O223" s="832"/>
      <c r="P223" s="832"/>
      <c r="Q223" s="832"/>
      <c r="R223" s="833"/>
      <c r="S223" s="831"/>
      <c r="T223" s="832"/>
      <c r="U223" s="832"/>
      <c r="V223" s="832"/>
      <c r="W223" s="833"/>
      <c r="X223" s="367"/>
      <c r="Y223" s="12"/>
      <c r="Z223" s="243"/>
      <c r="AB223" s="277"/>
      <c r="AC223" s="12"/>
      <c r="AD223" s="12"/>
      <c r="AE223" s="640"/>
      <c r="AF223" s="640"/>
      <c r="AH223" s="641"/>
    </row>
    <row r="224" spans="1:34" ht="12.75" customHeight="1">
      <c r="A224" s="633"/>
      <c r="B224" s="819"/>
      <c r="C224" s="820"/>
      <c r="D224" s="820"/>
      <c r="E224" s="820"/>
      <c r="F224" s="820"/>
      <c r="G224" s="820"/>
      <c r="H224" s="821"/>
      <c r="I224" s="838">
        <f>IF(Y225=0,IF(FIO="","",0),"")</f>
      </c>
      <c r="J224" s="838"/>
      <c r="K224" s="838"/>
      <c r="L224" s="838"/>
      <c r="M224" s="838"/>
      <c r="N224" s="839"/>
      <c r="O224" s="839"/>
      <c r="P224" s="839"/>
      <c r="Q224" s="839"/>
      <c r="R224" s="839"/>
      <c r="S224" s="839"/>
      <c r="T224" s="839"/>
      <c r="U224" s="839"/>
      <c r="V224" s="839"/>
      <c r="W224" s="839"/>
      <c r="X224" s="367"/>
      <c r="Z224" s="251" t="s">
        <v>208</v>
      </c>
      <c r="AE224" s="640"/>
      <c r="AF224" s="640"/>
      <c r="AH224" s="641"/>
    </row>
    <row r="225" spans="1:34" ht="12.75" customHeight="1">
      <c r="A225" s="634"/>
      <c r="B225" s="822"/>
      <c r="C225" s="823"/>
      <c r="D225" s="823"/>
      <c r="E225" s="823"/>
      <c r="F225" s="823"/>
      <c r="G225" s="823"/>
      <c r="H225" s="824"/>
      <c r="I225" s="838"/>
      <c r="J225" s="838"/>
      <c r="K225" s="838"/>
      <c r="L225" s="838"/>
      <c r="M225" s="838"/>
      <c r="N225" s="839"/>
      <c r="O225" s="839"/>
      <c r="P225" s="839"/>
      <c r="Q225" s="839"/>
      <c r="R225" s="839"/>
      <c r="S225" s="839"/>
      <c r="T225" s="839"/>
      <c r="U225" s="839"/>
      <c r="V225" s="839"/>
      <c r="W225" s="839"/>
      <c r="X225" s="367"/>
      <c r="Y225" s="267">
        <f>MAX(N224:W225)</f>
        <v>0</v>
      </c>
      <c r="Z225" s="253">
        <v>20</v>
      </c>
      <c r="AE225" s="640"/>
      <c r="AF225" s="640"/>
      <c r="AH225" s="641"/>
    </row>
    <row r="226" spans="1:34" ht="12.75" customHeight="1">
      <c r="A226" s="632" t="s">
        <v>687</v>
      </c>
      <c r="B226" s="816" t="s">
        <v>766</v>
      </c>
      <c r="C226" s="817"/>
      <c r="D226" s="817"/>
      <c r="E226" s="817"/>
      <c r="F226" s="817"/>
      <c r="G226" s="817"/>
      <c r="H226" s="818"/>
      <c r="I226" s="825" t="s">
        <v>657</v>
      </c>
      <c r="J226" s="826"/>
      <c r="K226" s="826"/>
      <c r="L226" s="826"/>
      <c r="M226" s="827"/>
      <c r="N226" s="825" t="s">
        <v>684</v>
      </c>
      <c r="O226" s="826"/>
      <c r="P226" s="826"/>
      <c r="Q226" s="826"/>
      <c r="R226" s="827"/>
      <c r="S226" s="825" t="s">
        <v>686</v>
      </c>
      <c r="T226" s="826"/>
      <c r="U226" s="826"/>
      <c r="V226" s="826"/>
      <c r="W226" s="827"/>
      <c r="X226" s="367"/>
      <c r="AE226" s="640"/>
      <c r="AF226" s="640"/>
      <c r="AH226" s="641"/>
    </row>
    <row r="227" spans="1:34" ht="12.75" customHeight="1">
      <c r="A227" s="633"/>
      <c r="B227" s="819"/>
      <c r="C227" s="820"/>
      <c r="D227" s="820"/>
      <c r="E227" s="820"/>
      <c r="F227" s="820"/>
      <c r="G227" s="820"/>
      <c r="H227" s="821"/>
      <c r="I227" s="828"/>
      <c r="J227" s="829"/>
      <c r="K227" s="829"/>
      <c r="L227" s="829"/>
      <c r="M227" s="830"/>
      <c r="N227" s="828"/>
      <c r="O227" s="829"/>
      <c r="P227" s="829"/>
      <c r="Q227" s="829"/>
      <c r="R227" s="830"/>
      <c r="S227" s="828"/>
      <c r="T227" s="829"/>
      <c r="U227" s="829"/>
      <c r="V227" s="829"/>
      <c r="W227" s="830"/>
      <c r="X227" s="367"/>
      <c r="AE227" s="640"/>
      <c r="AF227" s="640"/>
      <c r="AH227" s="641"/>
    </row>
    <row r="228" spans="1:34" ht="12.75" customHeight="1">
      <c r="A228" s="633"/>
      <c r="B228" s="819"/>
      <c r="C228" s="820"/>
      <c r="D228" s="820"/>
      <c r="E228" s="820"/>
      <c r="F228" s="820"/>
      <c r="G228" s="820"/>
      <c r="H228" s="821"/>
      <c r="I228" s="828"/>
      <c r="J228" s="829"/>
      <c r="K228" s="829"/>
      <c r="L228" s="829"/>
      <c r="M228" s="830"/>
      <c r="N228" s="828"/>
      <c r="O228" s="829"/>
      <c r="P228" s="829"/>
      <c r="Q228" s="829"/>
      <c r="R228" s="830"/>
      <c r="S228" s="828"/>
      <c r="T228" s="829"/>
      <c r="U228" s="829"/>
      <c r="V228" s="829"/>
      <c r="W228" s="830"/>
      <c r="X228" s="367"/>
      <c r="AE228" s="640"/>
      <c r="AF228" s="640"/>
      <c r="AH228" s="641"/>
    </row>
    <row r="229" spans="1:34" ht="12.75" customHeight="1">
      <c r="A229" s="633"/>
      <c r="B229" s="819"/>
      <c r="C229" s="820"/>
      <c r="D229" s="820"/>
      <c r="E229" s="820"/>
      <c r="F229" s="820"/>
      <c r="G229" s="820"/>
      <c r="H229" s="821"/>
      <c r="I229" s="828"/>
      <c r="J229" s="829"/>
      <c r="K229" s="829"/>
      <c r="L229" s="829"/>
      <c r="M229" s="830"/>
      <c r="N229" s="828"/>
      <c r="O229" s="829"/>
      <c r="P229" s="829"/>
      <c r="Q229" s="829"/>
      <c r="R229" s="830"/>
      <c r="S229" s="828"/>
      <c r="T229" s="829"/>
      <c r="U229" s="829"/>
      <c r="V229" s="829"/>
      <c r="W229" s="830"/>
      <c r="X229" s="367"/>
      <c r="AE229" s="640"/>
      <c r="AF229" s="640"/>
      <c r="AH229" s="641"/>
    </row>
    <row r="230" spans="1:34" ht="22.5" customHeight="1">
      <c r="A230" s="633"/>
      <c r="B230" s="819"/>
      <c r="C230" s="820"/>
      <c r="D230" s="820"/>
      <c r="E230" s="820"/>
      <c r="F230" s="820"/>
      <c r="G230" s="820"/>
      <c r="H230" s="821"/>
      <c r="I230" s="831"/>
      <c r="J230" s="832"/>
      <c r="K230" s="832"/>
      <c r="L230" s="832"/>
      <c r="M230" s="833"/>
      <c r="N230" s="831"/>
      <c r="O230" s="832"/>
      <c r="P230" s="832"/>
      <c r="Q230" s="832"/>
      <c r="R230" s="833"/>
      <c r="S230" s="831"/>
      <c r="T230" s="832"/>
      <c r="U230" s="832"/>
      <c r="V230" s="832"/>
      <c r="W230" s="833"/>
      <c r="X230" s="367"/>
      <c r="Y230" s="12"/>
      <c r="Z230" s="243"/>
      <c r="AB230" s="277"/>
      <c r="AC230" s="12"/>
      <c r="AD230" s="12"/>
      <c r="AE230" s="640"/>
      <c r="AF230" s="640"/>
      <c r="AH230" s="641"/>
    </row>
    <row r="231" spans="1:34" ht="12.75" customHeight="1">
      <c r="A231" s="633"/>
      <c r="B231" s="819"/>
      <c r="C231" s="820"/>
      <c r="D231" s="820"/>
      <c r="E231" s="820"/>
      <c r="F231" s="820"/>
      <c r="G231" s="820"/>
      <c r="H231" s="821"/>
      <c r="I231" s="838">
        <f>IF(Y232=0,IF(FIO="","",0),"")</f>
      </c>
      <c r="J231" s="838"/>
      <c r="K231" s="838"/>
      <c r="L231" s="838"/>
      <c r="M231" s="838"/>
      <c r="N231" s="839"/>
      <c r="O231" s="839"/>
      <c r="P231" s="839"/>
      <c r="Q231" s="839"/>
      <c r="R231" s="839"/>
      <c r="S231" s="839"/>
      <c r="T231" s="839"/>
      <c r="U231" s="839"/>
      <c r="V231" s="839"/>
      <c r="W231" s="839"/>
      <c r="X231" s="367"/>
      <c r="Z231" s="251" t="s">
        <v>208</v>
      </c>
      <c r="AE231" s="640"/>
      <c r="AF231" s="640"/>
      <c r="AH231" s="641"/>
    </row>
    <row r="232" spans="1:34" ht="12.75" customHeight="1">
      <c r="A232" s="634"/>
      <c r="B232" s="822"/>
      <c r="C232" s="823"/>
      <c r="D232" s="823"/>
      <c r="E232" s="823"/>
      <c r="F232" s="823"/>
      <c r="G232" s="823"/>
      <c r="H232" s="824"/>
      <c r="I232" s="838"/>
      <c r="J232" s="838"/>
      <c r="K232" s="838"/>
      <c r="L232" s="838"/>
      <c r="M232" s="838"/>
      <c r="N232" s="839"/>
      <c r="O232" s="839"/>
      <c r="P232" s="839"/>
      <c r="Q232" s="839"/>
      <c r="R232" s="839"/>
      <c r="S232" s="839"/>
      <c r="T232" s="839"/>
      <c r="U232" s="839"/>
      <c r="V232" s="839"/>
      <c r="W232" s="839"/>
      <c r="X232" s="367"/>
      <c r="Y232" s="267">
        <f>MAX(N231:W232)</f>
        <v>0</v>
      </c>
      <c r="Z232" s="253">
        <v>20</v>
      </c>
      <c r="AE232" s="640"/>
      <c r="AF232" s="640"/>
      <c r="AH232" s="641"/>
    </row>
    <row r="233" spans="1:34" ht="12.75" customHeight="1">
      <c r="A233" s="632" t="s">
        <v>688</v>
      </c>
      <c r="B233" s="816" t="s">
        <v>767</v>
      </c>
      <c r="C233" s="817"/>
      <c r="D233" s="817"/>
      <c r="E233" s="817"/>
      <c r="F233" s="817"/>
      <c r="G233" s="817"/>
      <c r="H233" s="818"/>
      <c r="I233" s="825" t="s">
        <v>657</v>
      </c>
      <c r="J233" s="826"/>
      <c r="K233" s="826"/>
      <c r="L233" s="826"/>
      <c r="M233" s="827"/>
      <c r="N233" s="825" t="s">
        <v>684</v>
      </c>
      <c r="O233" s="826"/>
      <c r="P233" s="826"/>
      <c r="Q233" s="826"/>
      <c r="R233" s="827"/>
      <c r="S233" s="825" t="s">
        <v>689</v>
      </c>
      <c r="T233" s="826"/>
      <c r="U233" s="826"/>
      <c r="V233" s="826"/>
      <c r="W233" s="827"/>
      <c r="X233" s="367"/>
      <c r="AE233" s="640"/>
      <c r="AF233" s="640"/>
      <c r="AH233" s="641"/>
    </row>
    <row r="234" spans="1:34" ht="12.75" customHeight="1">
      <c r="A234" s="633"/>
      <c r="B234" s="819"/>
      <c r="C234" s="820"/>
      <c r="D234" s="820"/>
      <c r="E234" s="820"/>
      <c r="F234" s="820"/>
      <c r="G234" s="820"/>
      <c r="H234" s="821"/>
      <c r="I234" s="828"/>
      <c r="J234" s="829"/>
      <c r="K234" s="829"/>
      <c r="L234" s="829"/>
      <c r="M234" s="830"/>
      <c r="N234" s="828"/>
      <c r="O234" s="829"/>
      <c r="P234" s="829"/>
      <c r="Q234" s="829"/>
      <c r="R234" s="830"/>
      <c r="S234" s="828"/>
      <c r="T234" s="829"/>
      <c r="U234" s="829"/>
      <c r="V234" s="829"/>
      <c r="W234" s="830"/>
      <c r="X234" s="367"/>
      <c r="AE234" s="640"/>
      <c r="AF234" s="640"/>
      <c r="AH234" s="641"/>
    </row>
    <row r="235" spans="1:34" ht="12.75" customHeight="1">
      <c r="A235" s="633"/>
      <c r="B235" s="819"/>
      <c r="C235" s="820"/>
      <c r="D235" s="820"/>
      <c r="E235" s="820"/>
      <c r="F235" s="820"/>
      <c r="G235" s="820"/>
      <c r="H235" s="821"/>
      <c r="I235" s="828"/>
      <c r="J235" s="829"/>
      <c r="K235" s="829"/>
      <c r="L235" s="829"/>
      <c r="M235" s="830"/>
      <c r="N235" s="828"/>
      <c r="O235" s="829"/>
      <c r="P235" s="829"/>
      <c r="Q235" s="829"/>
      <c r="R235" s="830"/>
      <c r="S235" s="828"/>
      <c r="T235" s="829"/>
      <c r="U235" s="829"/>
      <c r="V235" s="829"/>
      <c r="W235" s="830"/>
      <c r="X235" s="367"/>
      <c r="AE235" s="640"/>
      <c r="AF235" s="640"/>
      <c r="AH235" s="641"/>
    </row>
    <row r="236" spans="1:34" ht="4.5" customHeight="1">
      <c r="A236" s="633"/>
      <c r="B236" s="819"/>
      <c r="C236" s="820"/>
      <c r="D236" s="820"/>
      <c r="E236" s="820"/>
      <c r="F236" s="820"/>
      <c r="G236" s="820"/>
      <c r="H236" s="821"/>
      <c r="I236" s="828"/>
      <c r="J236" s="829"/>
      <c r="K236" s="829"/>
      <c r="L236" s="829"/>
      <c r="M236" s="830"/>
      <c r="N236" s="828"/>
      <c r="O236" s="829"/>
      <c r="P236" s="829"/>
      <c r="Q236" s="829"/>
      <c r="R236" s="830"/>
      <c r="S236" s="828"/>
      <c r="T236" s="829"/>
      <c r="U236" s="829"/>
      <c r="V236" s="829"/>
      <c r="W236" s="830"/>
      <c r="X236" s="367"/>
      <c r="AE236" s="640"/>
      <c r="AF236" s="640"/>
      <c r="AH236" s="641"/>
    </row>
    <row r="237" spans="1:34" ht="2.25" customHeight="1" hidden="1">
      <c r="A237" s="633"/>
      <c r="B237" s="819"/>
      <c r="C237" s="820"/>
      <c r="D237" s="820"/>
      <c r="E237" s="820"/>
      <c r="F237" s="820"/>
      <c r="G237" s="820"/>
      <c r="H237" s="821"/>
      <c r="I237" s="831"/>
      <c r="J237" s="832"/>
      <c r="K237" s="832"/>
      <c r="L237" s="832"/>
      <c r="M237" s="833"/>
      <c r="N237" s="831"/>
      <c r="O237" s="832"/>
      <c r="P237" s="832"/>
      <c r="Q237" s="832"/>
      <c r="R237" s="833"/>
      <c r="S237" s="831"/>
      <c r="T237" s="832"/>
      <c r="U237" s="832"/>
      <c r="V237" s="832"/>
      <c r="W237" s="833"/>
      <c r="X237" s="367"/>
      <c r="Y237" s="12"/>
      <c r="Z237" s="243"/>
      <c r="AB237" s="277"/>
      <c r="AC237" s="12"/>
      <c r="AD237" s="12"/>
      <c r="AE237" s="640"/>
      <c r="AF237" s="640"/>
      <c r="AH237" s="641"/>
    </row>
    <row r="238" spans="1:34" ht="12.75" customHeight="1">
      <c r="A238" s="633"/>
      <c r="B238" s="819"/>
      <c r="C238" s="820"/>
      <c r="D238" s="820"/>
      <c r="E238" s="820"/>
      <c r="F238" s="820"/>
      <c r="G238" s="820"/>
      <c r="H238" s="821"/>
      <c r="I238" s="838">
        <f>IF(Y239=0,IF(FIO="","",0),"")</f>
      </c>
      <c r="J238" s="838"/>
      <c r="K238" s="838"/>
      <c r="L238" s="838"/>
      <c r="M238" s="838"/>
      <c r="N238" s="839"/>
      <c r="O238" s="839"/>
      <c r="P238" s="839"/>
      <c r="Q238" s="839"/>
      <c r="R238" s="839"/>
      <c r="S238" s="839"/>
      <c r="T238" s="839"/>
      <c r="U238" s="839"/>
      <c r="V238" s="839"/>
      <c r="W238" s="839"/>
      <c r="X238" s="367"/>
      <c r="Z238" s="251" t="s">
        <v>208</v>
      </c>
      <c r="AE238" s="640"/>
      <c r="AF238" s="640"/>
      <c r="AH238" s="641"/>
    </row>
    <row r="239" spans="1:34" ht="12.75" customHeight="1">
      <c r="A239" s="634"/>
      <c r="B239" s="822"/>
      <c r="C239" s="823"/>
      <c r="D239" s="823"/>
      <c r="E239" s="823"/>
      <c r="F239" s="823"/>
      <c r="G239" s="823"/>
      <c r="H239" s="824"/>
      <c r="I239" s="838"/>
      <c r="J239" s="838"/>
      <c r="K239" s="838"/>
      <c r="L239" s="838"/>
      <c r="M239" s="838"/>
      <c r="N239" s="839"/>
      <c r="O239" s="839"/>
      <c r="P239" s="839"/>
      <c r="Q239" s="839"/>
      <c r="R239" s="839"/>
      <c r="S239" s="839"/>
      <c r="T239" s="839"/>
      <c r="U239" s="839"/>
      <c r="V239" s="839"/>
      <c r="W239" s="839"/>
      <c r="X239" s="367"/>
      <c r="Y239" s="267">
        <f>MAX(N238:W239)</f>
        <v>0</v>
      </c>
      <c r="Z239" s="253">
        <v>20</v>
      </c>
      <c r="AE239" s="640"/>
      <c r="AF239" s="640"/>
      <c r="AH239" s="641"/>
    </row>
    <row r="240" spans="1:34" ht="12.75" customHeight="1">
      <c r="A240" s="632" t="s">
        <v>690</v>
      </c>
      <c r="B240" s="816" t="s">
        <v>695</v>
      </c>
      <c r="C240" s="817"/>
      <c r="D240" s="817"/>
      <c r="E240" s="817"/>
      <c r="F240" s="817"/>
      <c r="G240" s="817"/>
      <c r="H240" s="818"/>
      <c r="I240" s="825" t="s">
        <v>657</v>
      </c>
      <c r="J240" s="826"/>
      <c r="K240" s="826"/>
      <c r="L240" s="826"/>
      <c r="M240" s="827"/>
      <c r="N240" s="825" t="s">
        <v>658</v>
      </c>
      <c r="O240" s="826"/>
      <c r="P240" s="826"/>
      <c r="Q240" s="826"/>
      <c r="R240" s="827"/>
      <c r="S240" s="825" t="s">
        <v>659</v>
      </c>
      <c r="T240" s="826"/>
      <c r="U240" s="826"/>
      <c r="V240" s="826"/>
      <c r="W240" s="827"/>
      <c r="X240" s="367"/>
      <c r="AE240" s="640"/>
      <c r="AF240" s="640"/>
      <c r="AH240" s="641"/>
    </row>
    <row r="241" spans="1:34" ht="12.75" customHeight="1">
      <c r="A241" s="633"/>
      <c r="B241" s="819"/>
      <c r="C241" s="820"/>
      <c r="D241" s="820"/>
      <c r="E241" s="820"/>
      <c r="F241" s="820"/>
      <c r="G241" s="820"/>
      <c r="H241" s="821"/>
      <c r="I241" s="828"/>
      <c r="J241" s="829"/>
      <c r="K241" s="829"/>
      <c r="L241" s="829"/>
      <c r="M241" s="830"/>
      <c r="N241" s="828"/>
      <c r="O241" s="829"/>
      <c r="P241" s="829"/>
      <c r="Q241" s="829"/>
      <c r="R241" s="830"/>
      <c r="S241" s="828"/>
      <c r="T241" s="829"/>
      <c r="U241" s="829"/>
      <c r="V241" s="829"/>
      <c r="W241" s="830"/>
      <c r="X241" s="367"/>
      <c r="AE241" s="640"/>
      <c r="AF241" s="640"/>
      <c r="AH241" s="641"/>
    </row>
    <row r="242" spans="1:34" ht="12.75" customHeight="1">
      <c r="A242" s="633"/>
      <c r="B242" s="819"/>
      <c r="C242" s="820"/>
      <c r="D242" s="820"/>
      <c r="E242" s="820"/>
      <c r="F242" s="820"/>
      <c r="G242" s="820"/>
      <c r="H242" s="821"/>
      <c r="I242" s="828"/>
      <c r="J242" s="829"/>
      <c r="K242" s="829"/>
      <c r="L242" s="829"/>
      <c r="M242" s="830"/>
      <c r="N242" s="828"/>
      <c r="O242" s="829"/>
      <c r="P242" s="829"/>
      <c r="Q242" s="829"/>
      <c r="R242" s="830"/>
      <c r="S242" s="828"/>
      <c r="T242" s="829"/>
      <c r="U242" s="829"/>
      <c r="V242" s="829"/>
      <c r="W242" s="830"/>
      <c r="X242" s="367"/>
      <c r="AE242" s="640"/>
      <c r="AF242" s="640"/>
      <c r="AH242" s="641"/>
    </row>
    <row r="243" spans="1:34" ht="4.5" customHeight="1">
      <c r="A243" s="633"/>
      <c r="B243" s="819"/>
      <c r="C243" s="820"/>
      <c r="D243" s="820"/>
      <c r="E243" s="820"/>
      <c r="F243" s="820"/>
      <c r="G243" s="820"/>
      <c r="H243" s="821"/>
      <c r="I243" s="828"/>
      <c r="J243" s="829"/>
      <c r="K243" s="829"/>
      <c r="L243" s="829"/>
      <c r="M243" s="830"/>
      <c r="N243" s="828"/>
      <c r="O243" s="829"/>
      <c r="P243" s="829"/>
      <c r="Q243" s="829"/>
      <c r="R243" s="830"/>
      <c r="S243" s="828"/>
      <c r="T243" s="829"/>
      <c r="U243" s="829"/>
      <c r="V243" s="829"/>
      <c r="W243" s="830"/>
      <c r="X243" s="367"/>
      <c r="AE243" s="640"/>
      <c r="AF243" s="640"/>
      <c r="AH243" s="641"/>
    </row>
    <row r="244" spans="1:34" ht="2.25" customHeight="1" hidden="1">
      <c r="A244" s="633"/>
      <c r="B244" s="819"/>
      <c r="C244" s="820"/>
      <c r="D244" s="820"/>
      <c r="E244" s="820"/>
      <c r="F244" s="820"/>
      <c r="G244" s="820"/>
      <c r="H244" s="821"/>
      <c r="I244" s="831"/>
      <c r="J244" s="832"/>
      <c r="K244" s="832"/>
      <c r="L244" s="832"/>
      <c r="M244" s="833"/>
      <c r="N244" s="831"/>
      <c r="O244" s="832"/>
      <c r="P244" s="832"/>
      <c r="Q244" s="832"/>
      <c r="R244" s="833"/>
      <c r="S244" s="831"/>
      <c r="T244" s="832"/>
      <c r="U244" s="832"/>
      <c r="V244" s="832"/>
      <c r="W244" s="833"/>
      <c r="X244" s="367"/>
      <c r="Y244" s="12"/>
      <c r="Z244" s="243"/>
      <c r="AB244" s="277"/>
      <c r="AC244" s="12"/>
      <c r="AD244" s="12"/>
      <c r="AE244" s="640"/>
      <c r="AF244" s="640"/>
      <c r="AH244" s="641"/>
    </row>
    <row r="245" spans="1:34" ht="12.75" customHeight="1">
      <c r="A245" s="633"/>
      <c r="B245" s="819"/>
      <c r="C245" s="820"/>
      <c r="D245" s="820"/>
      <c r="E245" s="820"/>
      <c r="F245" s="820"/>
      <c r="G245" s="820"/>
      <c r="H245" s="821"/>
      <c r="I245" s="838">
        <f>IF(Y246=0,IF(FIO="","",0),"")</f>
      </c>
      <c r="J245" s="838"/>
      <c r="K245" s="838"/>
      <c r="L245" s="838"/>
      <c r="M245" s="838"/>
      <c r="N245" s="839"/>
      <c r="O245" s="839"/>
      <c r="P245" s="839"/>
      <c r="Q245" s="839"/>
      <c r="R245" s="839"/>
      <c r="S245" s="839"/>
      <c r="T245" s="839"/>
      <c r="U245" s="839"/>
      <c r="V245" s="839"/>
      <c r="W245" s="839"/>
      <c r="X245" s="367"/>
      <c r="Z245" s="251" t="s">
        <v>208</v>
      </c>
      <c r="AE245" s="640"/>
      <c r="AF245" s="640"/>
      <c r="AH245" s="641"/>
    </row>
    <row r="246" spans="1:34" ht="12.75" customHeight="1">
      <c r="A246" s="634"/>
      <c r="B246" s="822"/>
      <c r="C246" s="823"/>
      <c r="D246" s="823"/>
      <c r="E246" s="823"/>
      <c r="F246" s="823"/>
      <c r="G246" s="823"/>
      <c r="H246" s="824"/>
      <c r="I246" s="838"/>
      <c r="J246" s="838"/>
      <c r="K246" s="838"/>
      <c r="L246" s="838"/>
      <c r="M246" s="838"/>
      <c r="N246" s="839"/>
      <c r="O246" s="839"/>
      <c r="P246" s="839"/>
      <c r="Q246" s="839"/>
      <c r="R246" s="839"/>
      <c r="S246" s="839"/>
      <c r="T246" s="839"/>
      <c r="U246" s="839"/>
      <c r="V246" s="839"/>
      <c r="W246" s="839"/>
      <c r="X246" s="367"/>
      <c r="Y246" s="267">
        <f>MAX(N245:W246)</f>
        <v>0</v>
      </c>
      <c r="Z246" s="253">
        <v>20</v>
      </c>
      <c r="AE246" s="640"/>
      <c r="AF246" s="640"/>
      <c r="AH246" s="641"/>
    </row>
    <row r="247" spans="1:34" ht="12.75" customHeight="1">
      <c r="A247" s="813" t="s">
        <v>692</v>
      </c>
      <c r="B247" s="816" t="s">
        <v>696</v>
      </c>
      <c r="C247" s="817"/>
      <c r="D247" s="817"/>
      <c r="E247" s="817"/>
      <c r="F247" s="817"/>
      <c r="G247" s="817"/>
      <c r="H247" s="818"/>
      <c r="I247" s="825" t="s">
        <v>657</v>
      </c>
      <c r="J247" s="826"/>
      <c r="K247" s="826"/>
      <c r="L247" s="826"/>
      <c r="M247" s="827"/>
      <c r="N247" s="825" t="s">
        <v>658</v>
      </c>
      <c r="O247" s="826"/>
      <c r="P247" s="826"/>
      <c r="Q247" s="826"/>
      <c r="R247" s="827"/>
      <c r="S247" s="825" t="s">
        <v>659</v>
      </c>
      <c r="T247" s="826"/>
      <c r="U247" s="826"/>
      <c r="V247" s="826"/>
      <c r="W247" s="827"/>
      <c r="X247" s="367"/>
      <c r="AE247" s="640"/>
      <c r="AF247" s="640"/>
      <c r="AH247" s="641"/>
    </row>
    <row r="248" spans="1:34" ht="12.75" customHeight="1">
      <c r="A248" s="814"/>
      <c r="B248" s="819"/>
      <c r="C248" s="820"/>
      <c r="D248" s="820"/>
      <c r="E248" s="820"/>
      <c r="F248" s="820"/>
      <c r="G248" s="820"/>
      <c r="H248" s="821"/>
      <c r="I248" s="828"/>
      <c r="J248" s="829"/>
      <c r="K248" s="829"/>
      <c r="L248" s="829"/>
      <c r="M248" s="830"/>
      <c r="N248" s="828"/>
      <c r="O248" s="829"/>
      <c r="P248" s="829"/>
      <c r="Q248" s="829"/>
      <c r="R248" s="830"/>
      <c r="S248" s="828"/>
      <c r="T248" s="829"/>
      <c r="U248" s="829"/>
      <c r="V248" s="829"/>
      <c r="W248" s="830"/>
      <c r="X248" s="367"/>
      <c r="AE248" s="640"/>
      <c r="AF248" s="640"/>
      <c r="AH248" s="641"/>
    </row>
    <row r="249" spans="1:34" ht="12.75" customHeight="1" hidden="1">
      <c r="A249" s="814"/>
      <c r="B249" s="819"/>
      <c r="C249" s="820"/>
      <c r="D249" s="820"/>
      <c r="E249" s="820"/>
      <c r="F249" s="820"/>
      <c r="G249" s="820"/>
      <c r="H249" s="821"/>
      <c r="I249" s="828"/>
      <c r="J249" s="829"/>
      <c r="K249" s="829"/>
      <c r="L249" s="829"/>
      <c r="M249" s="830"/>
      <c r="N249" s="828"/>
      <c r="O249" s="829"/>
      <c r="P249" s="829"/>
      <c r="Q249" s="829"/>
      <c r="R249" s="830"/>
      <c r="S249" s="828"/>
      <c r="T249" s="829"/>
      <c r="U249" s="829"/>
      <c r="V249" s="829"/>
      <c r="W249" s="830"/>
      <c r="X249" s="367"/>
      <c r="AE249" s="640"/>
      <c r="AF249" s="640"/>
      <c r="AH249" s="641"/>
    </row>
    <row r="250" spans="1:34" ht="12.75" customHeight="1" hidden="1">
      <c r="A250" s="814"/>
      <c r="B250" s="819"/>
      <c r="C250" s="820"/>
      <c r="D250" s="820"/>
      <c r="E250" s="820"/>
      <c r="F250" s="820"/>
      <c r="G250" s="820"/>
      <c r="H250" s="821"/>
      <c r="I250" s="828"/>
      <c r="J250" s="829"/>
      <c r="K250" s="829"/>
      <c r="L250" s="829"/>
      <c r="M250" s="830"/>
      <c r="N250" s="828"/>
      <c r="O250" s="829"/>
      <c r="P250" s="829"/>
      <c r="Q250" s="829"/>
      <c r="R250" s="830"/>
      <c r="S250" s="828"/>
      <c r="T250" s="829"/>
      <c r="U250" s="829"/>
      <c r="V250" s="829"/>
      <c r="W250" s="830"/>
      <c r="X250" s="367"/>
      <c r="AE250" s="640"/>
      <c r="AF250" s="640"/>
      <c r="AH250" s="641"/>
    </row>
    <row r="251" spans="1:34" ht="12.75">
      <c r="A251" s="814"/>
      <c r="B251" s="819"/>
      <c r="C251" s="820"/>
      <c r="D251" s="820"/>
      <c r="E251" s="820"/>
      <c r="F251" s="820"/>
      <c r="G251" s="820"/>
      <c r="H251" s="821"/>
      <c r="I251" s="831"/>
      <c r="J251" s="832"/>
      <c r="K251" s="832"/>
      <c r="L251" s="832"/>
      <c r="M251" s="833"/>
      <c r="N251" s="831"/>
      <c r="O251" s="832"/>
      <c r="P251" s="832"/>
      <c r="Q251" s="832"/>
      <c r="R251" s="833"/>
      <c r="S251" s="831"/>
      <c r="T251" s="832"/>
      <c r="U251" s="832"/>
      <c r="V251" s="832"/>
      <c r="W251" s="833"/>
      <c r="X251" s="367"/>
      <c r="Y251" s="12"/>
      <c r="Z251" s="243"/>
      <c r="AB251" s="277"/>
      <c r="AC251" s="12"/>
      <c r="AD251" s="12"/>
      <c r="AE251" s="640"/>
      <c r="AF251" s="640"/>
      <c r="AH251" s="641"/>
    </row>
    <row r="252" spans="1:34" ht="12.75" customHeight="1">
      <c r="A252" s="814"/>
      <c r="B252" s="819"/>
      <c r="C252" s="820"/>
      <c r="D252" s="820"/>
      <c r="E252" s="820"/>
      <c r="F252" s="820"/>
      <c r="G252" s="820"/>
      <c r="H252" s="821"/>
      <c r="I252" s="838">
        <f>IF(Y253=0,IF(FIO="","",0),"")</f>
      </c>
      <c r="J252" s="838"/>
      <c r="K252" s="838"/>
      <c r="L252" s="838"/>
      <c r="M252" s="838"/>
      <c r="N252" s="839"/>
      <c r="O252" s="839"/>
      <c r="P252" s="839"/>
      <c r="Q252" s="839"/>
      <c r="R252" s="839"/>
      <c r="S252" s="839"/>
      <c r="T252" s="839"/>
      <c r="U252" s="839"/>
      <c r="V252" s="839"/>
      <c r="W252" s="839"/>
      <c r="X252" s="367"/>
      <c r="Z252" s="251" t="s">
        <v>208</v>
      </c>
      <c r="AE252" s="640"/>
      <c r="AF252" s="640"/>
      <c r="AH252" s="641"/>
    </row>
    <row r="253" spans="1:34" ht="12.75" customHeight="1">
      <c r="A253" s="815"/>
      <c r="B253" s="822"/>
      <c r="C253" s="823"/>
      <c r="D253" s="823"/>
      <c r="E253" s="823"/>
      <c r="F253" s="823"/>
      <c r="G253" s="823"/>
      <c r="H253" s="824"/>
      <c r="I253" s="838"/>
      <c r="J253" s="838"/>
      <c r="K253" s="838"/>
      <c r="L253" s="838"/>
      <c r="M253" s="838"/>
      <c r="N253" s="839"/>
      <c r="O253" s="839"/>
      <c r="P253" s="839"/>
      <c r="Q253" s="839"/>
      <c r="R253" s="839"/>
      <c r="S253" s="839"/>
      <c r="T253" s="839"/>
      <c r="U253" s="839"/>
      <c r="V253" s="839"/>
      <c r="W253" s="839"/>
      <c r="X253" s="367"/>
      <c r="Y253" s="267">
        <f>MAX(N252:W253)</f>
        <v>0</v>
      </c>
      <c r="Z253" s="253">
        <v>20</v>
      </c>
      <c r="AE253" s="640"/>
      <c r="AF253" s="640"/>
      <c r="AH253" s="641"/>
    </row>
    <row r="254" spans="1:34" ht="12.75" customHeight="1">
      <c r="A254" s="813" t="s">
        <v>691</v>
      </c>
      <c r="B254" s="816" t="s">
        <v>697</v>
      </c>
      <c r="C254" s="817"/>
      <c r="D254" s="817"/>
      <c r="E254" s="817"/>
      <c r="F254" s="817"/>
      <c r="G254" s="817"/>
      <c r="H254" s="818"/>
      <c r="I254" s="825" t="s">
        <v>657</v>
      </c>
      <c r="J254" s="826"/>
      <c r="K254" s="826"/>
      <c r="L254" s="826"/>
      <c r="M254" s="827"/>
      <c r="N254" s="825" t="s">
        <v>658</v>
      </c>
      <c r="O254" s="826"/>
      <c r="P254" s="826"/>
      <c r="Q254" s="826"/>
      <c r="R254" s="827"/>
      <c r="S254" s="825" t="s">
        <v>659</v>
      </c>
      <c r="T254" s="826"/>
      <c r="U254" s="826"/>
      <c r="V254" s="826"/>
      <c r="W254" s="827"/>
      <c r="X254" s="367"/>
      <c r="AE254" s="640"/>
      <c r="AF254" s="640"/>
      <c r="AH254" s="641"/>
    </row>
    <row r="255" spans="1:34" ht="12.75" customHeight="1">
      <c r="A255" s="814"/>
      <c r="B255" s="819"/>
      <c r="C255" s="820"/>
      <c r="D255" s="820"/>
      <c r="E255" s="820"/>
      <c r="F255" s="820"/>
      <c r="G255" s="820"/>
      <c r="H255" s="821"/>
      <c r="I255" s="828"/>
      <c r="J255" s="829"/>
      <c r="K255" s="829"/>
      <c r="L255" s="829"/>
      <c r="M255" s="830"/>
      <c r="N255" s="828"/>
      <c r="O255" s="829"/>
      <c r="P255" s="829"/>
      <c r="Q255" s="829"/>
      <c r="R255" s="830"/>
      <c r="S255" s="828"/>
      <c r="T255" s="829"/>
      <c r="U255" s="829"/>
      <c r="V255" s="829"/>
      <c r="W255" s="830"/>
      <c r="X255" s="367"/>
      <c r="AE255" s="640"/>
      <c r="AF255" s="640"/>
      <c r="AH255" s="641"/>
    </row>
    <row r="256" spans="1:34" ht="12.75" customHeight="1">
      <c r="A256" s="814"/>
      <c r="B256" s="819"/>
      <c r="C256" s="820"/>
      <c r="D256" s="820"/>
      <c r="E256" s="820"/>
      <c r="F256" s="820"/>
      <c r="G256" s="820"/>
      <c r="H256" s="821"/>
      <c r="I256" s="828"/>
      <c r="J256" s="829"/>
      <c r="K256" s="829"/>
      <c r="L256" s="829"/>
      <c r="M256" s="830"/>
      <c r="N256" s="828"/>
      <c r="O256" s="829"/>
      <c r="P256" s="829"/>
      <c r="Q256" s="829"/>
      <c r="R256" s="830"/>
      <c r="S256" s="828"/>
      <c r="T256" s="829"/>
      <c r="U256" s="829"/>
      <c r="V256" s="829"/>
      <c r="W256" s="830"/>
      <c r="X256" s="367"/>
      <c r="AE256" s="640"/>
      <c r="AF256" s="640"/>
      <c r="AH256" s="641"/>
    </row>
    <row r="257" spans="1:34" ht="4.5" customHeight="1">
      <c r="A257" s="814"/>
      <c r="B257" s="819"/>
      <c r="C257" s="820"/>
      <c r="D257" s="820"/>
      <c r="E257" s="820"/>
      <c r="F257" s="820"/>
      <c r="G257" s="820"/>
      <c r="H257" s="821"/>
      <c r="I257" s="828"/>
      <c r="J257" s="829"/>
      <c r="K257" s="829"/>
      <c r="L257" s="829"/>
      <c r="M257" s="830"/>
      <c r="N257" s="828"/>
      <c r="O257" s="829"/>
      <c r="P257" s="829"/>
      <c r="Q257" s="829"/>
      <c r="R257" s="830"/>
      <c r="S257" s="828"/>
      <c r="T257" s="829"/>
      <c r="U257" s="829"/>
      <c r="V257" s="829"/>
      <c r="W257" s="830"/>
      <c r="X257" s="367"/>
      <c r="AE257" s="640"/>
      <c r="AF257" s="640"/>
      <c r="AH257" s="641"/>
    </row>
    <row r="258" spans="1:34" ht="2.25" customHeight="1" hidden="1">
      <c r="A258" s="814"/>
      <c r="B258" s="819"/>
      <c r="C258" s="820"/>
      <c r="D258" s="820"/>
      <c r="E258" s="820"/>
      <c r="F258" s="820"/>
      <c r="G258" s="820"/>
      <c r="H258" s="821"/>
      <c r="I258" s="831"/>
      <c r="J258" s="832"/>
      <c r="K258" s="832"/>
      <c r="L258" s="832"/>
      <c r="M258" s="833"/>
      <c r="N258" s="831"/>
      <c r="O258" s="832"/>
      <c r="P258" s="832"/>
      <c r="Q258" s="832"/>
      <c r="R258" s="833"/>
      <c r="S258" s="831"/>
      <c r="T258" s="832"/>
      <c r="U258" s="832"/>
      <c r="V258" s="832"/>
      <c r="W258" s="833"/>
      <c r="X258" s="367"/>
      <c r="Y258" s="12"/>
      <c r="Z258" s="243"/>
      <c r="AB258" s="277"/>
      <c r="AC258" s="12"/>
      <c r="AD258" s="12"/>
      <c r="AE258" s="640"/>
      <c r="AF258" s="640"/>
      <c r="AH258" s="641"/>
    </row>
    <row r="259" spans="1:34" ht="12.75" customHeight="1">
      <c r="A259" s="814"/>
      <c r="B259" s="819"/>
      <c r="C259" s="820"/>
      <c r="D259" s="820"/>
      <c r="E259" s="820"/>
      <c r="F259" s="820"/>
      <c r="G259" s="820"/>
      <c r="H259" s="821"/>
      <c r="I259" s="838">
        <f>IF(Y260=0,IF(FIO="","",0),"")</f>
      </c>
      <c r="J259" s="838"/>
      <c r="K259" s="838"/>
      <c r="L259" s="838"/>
      <c r="M259" s="838"/>
      <c r="N259" s="839"/>
      <c r="O259" s="839"/>
      <c r="P259" s="839"/>
      <c r="Q259" s="839"/>
      <c r="R259" s="839"/>
      <c r="S259" s="839"/>
      <c r="T259" s="839"/>
      <c r="U259" s="839"/>
      <c r="V259" s="839"/>
      <c r="W259" s="839"/>
      <c r="X259" s="367"/>
      <c r="Z259" s="251" t="s">
        <v>208</v>
      </c>
      <c r="AE259" s="640"/>
      <c r="AF259" s="640"/>
      <c r="AH259" s="641"/>
    </row>
    <row r="260" spans="1:34" ht="12.75" customHeight="1">
      <c r="A260" s="815"/>
      <c r="B260" s="822"/>
      <c r="C260" s="823"/>
      <c r="D260" s="823"/>
      <c r="E260" s="823"/>
      <c r="F260" s="823"/>
      <c r="G260" s="823"/>
      <c r="H260" s="824"/>
      <c r="I260" s="838"/>
      <c r="J260" s="838"/>
      <c r="K260" s="838"/>
      <c r="L260" s="838"/>
      <c r="M260" s="838"/>
      <c r="N260" s="839"/>
      <c r="O260" s="839"/>
      <c r="P260" s="839"/>
      <c r="Q260" s="839"/>
      <c r="R260" s="839"/>
      <c r="S260" s="839"/>
      <c r="T260" s="839"/>
      <c r="U260" s="839"/>
      <c r="V260" s="839"/>
      <c r="W260" s="839"/>
      <c r="X260" s="367"/>
      <c r="Y260" s="267">
        <f>MAX(N259:W260)</f>
        <v>0</v>
      </c>
      <c r="Z260" s="253">
        <v>20</v>
      </c>
      <c r="AE260" s="640"/>
      <c r="AF260" s="640"/>
      <c r="AH260" s="641"/>
    </row>
    <row r="261" spans="1:34" ht="12.75" customHeight="1">
      <c r="A261" s="813" t="s">
        <v>693</v>
      </c>
      <c r="B261" s="816" t="s">
        <v>698</v>
      </c>
      <c r="C261" s="817"/>
      <c r="D261" s="817"/>
      <c r="E261" s="817"/>
      <c r="F261" s="817"/>
      <c r="G261" s="817"/>
      <c r="H261" s="818"/>
      <c r="I261" s="825" t="s">
        <v>701</v>
      </c>
      <c r="J261" s="826"/>
      <c r="K261" s="826"/>
      <c r="L261" s="826"/>
      <c r="M261" s="827"/>
      <c r="N261" s="825" t="s">
        <v>700</v>
      </c>
      <c r="O261" s="826"/>
      <c r="P261" s="826"/>
      <c r="Q261" s="826"/>
      <c r="R261" s="827"/>
      <c r="S261" s="825" t="s">
        <v>702</v>
      </c>
      <c r="T261" s="826"/>
      <c r="U261" s="826"/>
      <c r="V261" s="826"/>
      <c r="W261" s="827"/>
      <c r="X261" s="367"/>
      <c r="AE261" s="640"/>
      <c r="AF261" s="640"/>
      <c r="AH261" s="641"/>
    </row>
    <row r="262" spans="1:34" ht="2.25" customHeight="1">
      <c r="A262" s="814"/>
      <c r="B262" s="819"/>
      <c r="C262" s="820"/>
      <c r="D262" s="820"/>
      <c r="E262" s="820"/>
      <c r="F262" s="820"/>
      <c r="G262" s="820"/>
      <c r="H262" s="821"/>
      <c r="I262" s="828"/>
      <c r="J262" s="829"/>
      <c r="K262" s="829"/>
      <c r="L262" s="829"/>
      <c r="M262" s="830"/>
      <c r="N262" s="828"/>
      <c r="O262" s="829"/>
      <c r="P262" s="829"/>
      <c r="Q262" s="829"/>
      <c r="R262" s="830"/>
      <c r="S262" s="828"/>
      <c r="T262" s="829"/>
      <c r="U262" s="829"/>
      <c r="V262" s="829"/>
      <c r="W262" s="830"/>
      <c r="X262" s="367"/>
      <c r="AE262" s="640"/>
      <c r="AF262" s="640"/>
      <c r="AH262" s="641"/>
    </row>
    <row r="263" spans="1:34" ht="13.5" customHeight="1">
      <c r="A263" s="814"/>
      <c r="B263" s="840" t="s">
        <v>699</v>
      </c>
      <c r="C263" s="841"/>
      <c r="D263" s="841"/>
      <c r="E263" s="841"/>
      <c r="F263" s="841"/>
      <c r="G263" s="841"/>
      <c r="H263" s="842"/>
      <c r="I263" s="828"/>
      <c r="J263" s="829"/>
      <c r="K263" s="829"/>
      <c r="L263" s="829"/>
      <c r="M263" s="830"/>
      <c r="N263" s="828"/>
      <c r="O263" s="829"/>
      <c r="P263" s="829"/>
      <c r="Q263" s="829"/>
      <c r="R263" s="830"/>
      <c r="S263" s="828"/>
      <c r="T263" s="829"/>
      <c r="U263" s="829"/>
      <c r="V263" s="829"/>
      <c r="W263" s="830"/>
      <c r="X263" s="367"/>
      <c r="AE263" s="640"/>
      <c r="AF263" s="640"/>
      <c r="AH263" s="641"/>
    </row>
    <row r="264" spans="1:34" ht="13.5" customHeight="1">
      <c r="A264" s="814"/>
      <c r="B264" s="840"/>
      <c r="C264" s="841"/>
      <c r="D264" s="841"/>
      <c r="E264" s="841"/>
      <c r="F264" s="841"/>
      <c r="G264" s="841"/>
      <c r="H264" s="842"/>
      <c r="I264" s="828"/>
      <c r="J264" s="829"/>
      <c r="K264" s="829"/>
      <c r="L264" s="829"/>
      <c r="M264" s="830"/>
      <c r="N264" s="828"/>
      <c r="O264" s="829"/>
      <c r="P264" s="829"/>
      <c r="Q264" s="829"/>
      <c r="R264" s="830"/>
      <c r="S264" s="828"/>
      <c r="T264" s="829"/>
      <c r="U264" s="829"/>
      <c r="V264" s="829"/>
      <c r="W264" s="830"/>
      <c r="X264" s="367"/>
      <c r="AE264" s="640"/>
      <c r="AF264" s="640"/>
      <c r="AH264" s="641"/>
    </row>
    <row r="265" spans="1:34" ht="93.75" customHeight="1">
      <c r="A265" s="814"/>
      <c r="B265" s="840"/>
      <c r="C265" s="841"/>
      <c r="D265" s="841"/>
      <c r="E265" s="841"/>
      <c r="F265" s="841"/>
      <c r="G265" s="841"/>
      <c r="H265" s="842"/>
      <c r="I265" s="831"/>
      <c r="J265" s="832"/>
      <c r="K265" s="832"/>
      <c r="L265" s="832"/>
      <c r="M265" s="833"/>
      <c r="N265" s="831"/>
      <c r="O265" s="832"/>
      <c r="P265" s="832"/>
      <c r="Q265" s="832"/>
      <c r="R265" s="833"/>
      <c r="S265" s="831"/>
      <c r="T265" s="832"/>
      <c r="U265" s="832"/>
      <c r="V265" s="832"/>
      <c r="W265" s="833"/>
      <c r="X265" s="367"/>
      <c r="Y265" s="12"/>
      <c r="Z265" s="243"/>
      <c r="AB265" s="277"/>
      <c r="AC265" s="12"/>
      <c r="AD265" s="12"/>
      <c r="AE265" s="640"/>
      <c r="AF265" s="640"/>
      <c r="AH265" s="641"/>
    </row>
    <row r="266" spans="1:34" ht="12.75" customHeight="1">
      <c r="A266" s="814"/>
      <c r="B266" s="840"/>
      <c r="C266" s="841"/>
      <c r="D266" s="841"/>
      <c r="E266" s="841"/>
      <c r="F266" s="841"/>
      <c r="G266" s="841"/>
      <c r="H266" s="842"/>
      <c r="I266" s="838">
        <f>IF(Y267=0,IF(FIO="","",0),"")</f>
      </c>
      <c r="J266" s="838"/>
      <c r="K266" s="838"/>
      <c r="L266" s="838"/>
      <c r="M266" s="838"/>
      <c r="N266" s="839"/>
      <c r="O266" s="839"/>
      <c r="P266" s="839"/>
      <c r="Q266" s="839"/>
      <c r="R266" s="839"/>
      <c r="S266" s="839"/>
      <c r="T266" s="839"/>
      <c r="U266" s="839"/>
      <c r="V266" s="839"/>
      <c r="W266" s="839"/>
      <c r="X266" s="367"/>
      <c r="Z266" s="251" t="s">
        <v>208</v>
      </c>
      <c r="AE266" s="640"/>
      <c r="AF266" s="640"/>
      <c r="AH266" s="641"/>
    </row>
    <row r="267" spans="1:34" ht="12.75" customHeight="1">
      <c r="A267" s="815"/>
      <c r="B267" s="843"/>
      <c r="C267" s="844"/>
      <c r="D267" s="844"/>
      <c r="E267" s="844"/>
      <c r="F267" s="844"/>
      <c r="G267" s="844"/>
      <c r="H267" s="845"/>
      <c r="I267" s="838"/>
      <c r="J267" s="838"/>
      <c r="K267" s="838"/>
      <c r="L267" s="838"/>
      <c r="M267" s="838"/>
      <c r="N267" s="839"/>
      <c r="O267" s="839"/>
      <c r="P267" s="839"/>
      <c r="Q267" s="839"/>
      <c r="R267" s="839"/>
      <c r="S267" s="839"/>
      <c r="T267" s="839"/>
      <c r="U267" s="839"/>
      <c r="V267" s="839"/>
      <c r="W267" s="839"/>
      <c r="X267" s="367"/>
      <c r="Y267" s="267">
        <f>MAX(N266:W267)</f>
        <v>0</v>
      </c>
      <c r="Z267" s="253">
        <v>20</v>
      </c>
      <c r="AE267" s="640"/>
      <c r="AF267" s="640"/>
      <c r="AH267" s="641"/>
    </row>
    <row r="268" spans="1:34" ht="12.75" customHeight="1">
      <c r="A268" s="813" t="s">
        <v>694</v>
      </c>
      <c r="B268" s="816" t="s">
        <v>703</v>
      </c>
      <c r="C268" s="817"/>
      <c r="D268" s="817"/>
      <c r="E268" s="817"/>
      <c r="F268" s="817"/>
      <c r="G268" s="817"/>
      <c r="H268" s="818"/>
      <c r="I268" s="825" t="s">
        <v>657</v>
      </c>
      <c r="J268" s="826"/>
      <c r="K268" s="826"/>
      <c r="L268" s="826"/>
      <c r="M268" s="827"/>
      <c r="N268" s="825" t="s">
        <v>704</v>
      </c>
      <c r="O268" s="826"/>
      <c r="P268" s="826"/>
      <c r="Q268" s="826"/>
      <c r="R268" s="827"/>
      <c r="S268" s="825" t="s">
        <v>675</v>
      </c>
      <c r="T268" s="826"/>
      <c r="U268" s="826"/>
      <c r="V268" s="826"/>
      <c r="W268" s="827"/>
      <c r="X268" s="367"/>
      <c r="AE268" s="640"/>
      <c r="AF268" s="640"/>
      <c r="AH268" s="641"/>
    </row>
    <row r="269" spans="1:34" ht="12.75" customHeight="1">
      <c r="A269" s="814"/>
      <c r="B269" s="819"/>
      <c r="C269" s="820"/>
      <c r="D269" s="820"/>
      <c r="E269" s="820"/>
      <c r="F269" s="820"/>
      <c r="G269" s="820"/>
      <c r="H269" s="821"/>
      <c r="I269" s="828"/>
      <c r="J269" s="829"/>
      <c r="K269" s="829"/>
      <c r="L269" s="829"/>
      <c r="M269" s="830"/>
      <c r="N269" s="828"/>
      <c r="O269" s="829"/>
      <c r="P269" s="829"/>
      <c r="Q269" s="829"/>
      <c r="R269" s="830"/>
      <c r="S269" s="828"/>
      <c r="T269" s="829"/>
      <c r="U269" s="829"/>
      <c r="V269" s="829"/>
      <c r="W269" s="830"/>
      <c r="X269" s="367"/>
      <c r="AE269" s="640"/>
      <c r="AF269" s="640"/>
      <c r="AH269" s="641"/>
    </row>
    <row r="270" spans="1:34" ht="12.75" customHeight="1">
      <c r="A270" s="814"/>
      <c r="B270" s="819"/>
      <c r="C270" s="820"/>
      <c r="D270" s="820"/>
      <c r="E270" s="820"/>
      <c r="F270" s="820"/>
      <c r="G270" s="820"/>
      <c r="H270" s="821"/>
      <c r="I270" s="828"/>
      <c r="J270" s="829"/>
      <c r="K270" s="829"/>
      <c r="L270" s="829"/>
      <c r="M270" s="830"/>
      <c r="N270" s="828"/>
      <c r="O270" s="829"/>
      <c r="P270" s="829"/>
      <c r="Q270" s="829"/>
      <c r="R270" s="830"/>
      <c r="S270" s="828"/>
      <c r="T270" s="829"/>
      <c r="U270" s="829"/>
      <c r="V270" s="829"/>
      <c r="W270" s="830"/>
      <c r="X270" s="367"/>
      <c r="AE270" s="640"/>
      <c r="AF270" s="640"/>
      <c r="AH270" s="641"/>
    </row>
    <row r="271" spans="1:34" ht="12.75">
      <c r="A271" s="814"/>
      <c r="B271" s="819"/>
      <c r="C271" s="820"/>
      <c r="D271" s="820"/>
      <c r="E271" s="820"/>
      <c r="F271" s="820"/>
      <c r="G271" s="820"/>
      <c r="H271" s="821"/>
      <c r="I271" s="828"/>
      <c r="J271" s="829"/>
      <c r="K271" s="829"/>
      <c r="L271" s="829"/>
      <c r="M271" s="830"/>
      <c r="N271" s="828"/>
      <c r="O271" s="829"/>
      <c r="P271" s="829"/>
      <c r="Q271" s="829"/>
      <c r="R271" s="830"/>
      <c r="S271" s="828"/>
      <c r="T271" s="829"/>
      <c r="U271" s="829"/>
      <c r="V271" s="829"/>
      <c r="W271" s="830"/>
      <c r="X271" s="367"/>
      <c r="AE271" s="640"/>
      <c r="AF271" s="640"/>
      <c r="AH271" s="641"/>
    </row>
    <row r="272" spans="1:34" ht="30" customHeight="1">
      <c r="A272" s="814"/>
      <c r="B272" s="819"/>
      <c r="C272" s="820"/>
      <c r="D272" s="820"/>
      <c r="E272" s="820"/>
      <c r="F272" s="820"/>
      <c r="G272" s="820"/>
      <c r="H272" s="821"/>
      <c r="I272" s="831"/>
      <c r="J272" s="832"/>
      <c r="K272" s="832"/>
      <c r="L272" s="832"/>
      <c r="M272" s="833"/>
      <c r="N272" s="831"/>
      <c r="O272" s="832"/>
      <c r="P272" s="832"/>
      <c r="Q272" s="832"/>
      <c r="R272" s="833"/>
      <c r="S272" s="831"/>
      <c r="T272" s="832"/>
      <c r="U272" s="832"/>
      <c r="V272" s="832"/>
      <c r="W272" s="833"/>
      <c r="X272" s="367"/>
      <c r="Y272" s="12"/>
      <c r="Z272" s="243"/>
      <c r="AB272" s="277"/>
      <c r="AC272" s="12"/>
      <c r="AD272" s="12"/>
      <c r="AE272" s="640"/>
      <c r="AF272" s="640"/>
      <c r="AH272" s="641"/>
    </row>
    <row r="273" spans="1:34" ht="12.75" customHeight="1">
      <c r="A273" s="814"/>
      <c r="B273" s="819"/>
      <c r="C273" s="820"/>
      <c r="D273" s="820"/>
      <c r="E273" s="820"/>
      <c r="F273" s="820"/>
      <c r="G273" s="820"/>
      <c r="H273" s="821"/>
      <c r="I273" s="838">
        <f>IF(Y274=0,IF(FIO="","",0),"")</f>
      </c>
      <c r="J273" s="838"/>
      <c r="K273" s="838"/>
      <c r="L273" s="838"/>
      <c r="M273" s="838"/>
      <c r="N273" s="839"/>
      <c r="O273" s="839"/>
      <c r="P273" s="839"/>
      <c r="Q273" s="839"/>
      <c r="R273" s="839"/>
      <c r="S273" s="839"/>
      <c r="T273" s="839"/>
      <c r="U273" s="839"/>
      <c r="V273" s="839"/>
      <c r="W273" s="839"/>
      <c r="X273" s="367"/>
      <c r="Z273" s="251" t="s">
        <v>208</v>
      </c>
      <c r="AE273" s="640"/>
      <c r="AF273" s="640"/>
      <c r="AH273" s="641"/>
    </row>
    <row r="274" spans="1:34" ht="12.75" customHeight="1">
      <c r="A274" s="815"/>
      <c r="B274" s="822"/>
      <c r="C274" s="823"/>
      <c r="D274" s="823"/>
      <c r="E274" s="823"/>
      <c r="F274" s="823"/>
      <c r="G274" s="823"/>
      <c r="H274" s="824"/>
      <c r="I274" s="838"/>
      <c r="J274" s="838"/>
      <c r="K274" s="838"/>
      <c r="L274" s="838"/>
      <c r="M274" s="838"/>
      <c r="N274" s="839"/>
      <c r="O274" s="839"/>
      <c r="P274" s="839"/>
      <c r="Q274" s="839"/>
      <c r="R274" s="839"/>
      <c r="S274" s="839"/>
      <c r="T274" s="839"/>
      <c r="U274" s="839"/>
      <c r="V274" s="839"/>
      <c r="W274" s="839"/>
      <c r="X274" s="367"/>
      <c r="Y274" s="267">
        <f>MAX(N273:W274)</f>
        <v>0</v>
      </c>
      <c r="Z274" s="253">
        <v>20</v>
      </c>
      <c r="AE274" s="640"/>
      <c r="AF274" s="640"/>
      <c r="AH274" s="641"/>
    </row>
    <row r="275" spans="1:34" ht="12.75" customHeight="1">
      <c r="A275" s="813" t="s">
        <v>705</v>
      </c>
      <c r="B275" s="816" t="s">
        <v>707</v>
      </c>
      <c r="C275" s="817"/>
      <c r="D275" s="817"/>
      <c r="E275" s="817"/>
      <c r="F275" s="817"/>
      <c r="G275" s="817"/>
      <c r="H275" s="818"/>
      <c r="I275" s="825" t="s">
        <v>657</v>
      </c>
      <c r="J275" s="826"/>
      <c r="K275" s="826"/>
      <c r="L275" s="826"/>
      <c r="M275" s="827"/>
      <c r="N275" s="825" t="s">
        <v>658</v>
      </c>
      <c r="O275" s="826"/>
      <c r="P275" s="826"/>
      <c r="Q275" s="826"/>
      <c r="R275" s="827"/>
      <c r="S275" s="825" t="s">
        <v>675</v>
      </c>
      <c r="T275" s="826"/>
      <c r="U275" s="826"/>
      <c r="V275" s="826"/>
      <c r="W275" s="827"/>
      <c r="X275" s="367"/>
      <c r="AE275" s="640"/>
      <c r="AF275" s="640"/>
      <c r="AH275" s="641"/>
    </row>
    <row r="276" spans="1:34" ht="12.75" customHeight="1">
      <c r="A276" s="814"/>
      <c r="B276" s="819"/>
      <c r="C276" s="820"/>
      <c r="D276" s="820"/>
      <c r="E276" s="820"/>
      <c r="F276" s="820"/>
      <c r="G276" s="820"/>
      <c r="H276" s="821"/>
      <c r="I276" s="828"/>
      <c r="J276" s="829"/>
      <c r="K276" s="829"/>
      <c r="L276" s="829"/>
      <c r="M276" s="830"/>
      <c r="N276" s="828"/>
      <c r="O276" s="829"/>
      <c r="P276" s="829"/>
      <c r="Q276" s="829"/>
      <c r="R276" s="830"/>
      <c r="S276" s="828"/>
      <c r="T276" s="829"/>
      <c r="U276" s="829"/>
      <c r="V276" s="829"/>
      <c r="W276" s="830"/>
      <c r="X276" s="367"/>
      <c r="AE276" s="640"/>
      <c r="AF276" s="640"/>
      <c r="AH276" s="641"/>
    </row>
    <row r="277" spans="1:34" ht="12.75">
      <c r="A277" s="814"/>
      <c r="B277" s="819"/>
      <c r="C277" s="820"/>
      <c r="D277" s="820"/>
      <c r="E277" s="820"/>
      <c r="F277" s="820"/>
      <c r="G277" s="820"/>
      <c r="H277" s="821"/>
      <c r="I277" s="828"/>
      <c r="J277" s="829"/>
      <c r="K277" s="829"/>
      <c r="L277" s="829"/>
      <c r="M277" s="830"/>
      <c r="N277" s="828"/>
      <c r="O277" s="829"/>
      <c r="P277" s="829"/>
      <c r="Q277" s="829"/>
      <c r="R277" s="830"/>
      <c r="S277" s="828"/>
      <c r="T277" s="829"/>
      <c r="U277" s="829"/>
      <c r="V277" s="829"/>
      <c r="W277" s="830"/>
      <c r="X277" s="367"/>
      <c r="AE277" s="640"/>
      <c r="AF277" s="640"/>
      <c r="AH277" s="641"/>
    </row>
    <row r="278" spans="1:34" ht="30" customHeight="1">
      <c r="A278" s="814"/>
      <c r="B278" s="819"/>
      <c r="C278" s="820"/>
      <c r="D278" s="820"/>
      <c r="E278" s="820"/>
      <c r="F278" s="820"/>
      <c r="G278" s="820"/>
      <c r="H278" s="821"/>
      <c r="I278" s="828"/>
      <c r="J278" s="829"/>
      <c r="K278" s="829"/>
      <c r="L278" s="829"/>
      <c r="M278" s="830"/>
      <c r="N278" s="828"/>
      <c r="O278" s="829"/>
      <c r="P278" s="829"/>
      <c r="Q278" s="829"/>
      <c r="R278" s="830"/>
      <c r="S278" s="828"/>
      <c r="T278" s="829"/>
      <c r="U278" s="829"/>
      <c r="V278" s="829"/>
      <c r="W278" s="830"/>
      <c r="X278" s="367"/>
      <c r="AE278" s="640"/>
      <c r="AF278" s="640"/>
      <c r="AH278" s="641"/>
    </row>
    <row r="279" spans="1:34" ht="16.5" customHeight="1">
      <c r="A279" s="814"/>
      <c r="B279" s="819"/>
      <c r="C279" s="820"/>
      <c r="D279" s="820"/>
      <c r="E279" s="820"/>
      <c r="F279" s="820"/>
      <c r="G279" s="820"/>
      <c r="H279" s="821"/>
      <c r="I279" s="831"/>
      <c r="J279" s="832"/>
      <c r="K279" s="832"/>
      <c r="L279" s="832"/>
      <c r="M279" s="833"/>
      <c r="N279" s="831"/>
      <c r="O279" s="832"/>
      <c r="P279" s="832"/>
      <c r="Q279" s="832"/>
      <c r="R279" s="833"/>
      <c r="S279" s="831"/>
      <c r="T279" s="832"/>
      <c r="U279" s="832"/>
      <c r="V279" s="832"/>
      <c r="W279" s="833"/>
      <c r="X279" s="367"/>
      <c r="Y279" s="12"/>
      <c r="Z279" s="243"/>
      <c r="AB279" s="277"/>
      <c r="AC279" s="12"/>
      <c r="AD279" s="12"/>
      <c r="AE279" s="640"/>
      <c r="AF279" s="640"/>
      <c r="AH279" s="641"/>
    </row>
    <row r="280" spans="1:34" ht="12.75" customHeight="1">
      <c r="A280" s="814"/>
      <c r="B280" s="819"/>
      <c r="C280" s="820"/>
      <c r="D280" s="820"/>
      <c r="E280" s="820"/>
      <c r="F280" s="820"/>
      <c r="G280" s="820"/>
      <c r="H280" s="821"/>
      <c r="I280" s="838">
        <f>IF(Y281=0,IF(FIO="","",0),"")</f>
      </c>
      <c r="J280" s="838"/>
      <c r="K280" s="838"/>
      <c r="L280" s="838"/>
      <c r="M280" s="838"/>
      <c r="N280" s="839"/>
      <c r="O280" s="839"/>
      <c r="P280" s="839"/>
      <c r="Q280" s="839"/>
      <c r="R280" s="839"/>
      <c r="S280" s="839"/>
      <c r="T280" s="839"/>
      <c r="U280" s="839"/>
      <c r="V280" s="839"/>
      <c r="W280" s="839"/>
      <c r="X280" s="367"/>
      <c r="Z280" s="251" t="s">
        <v>208</v>
      </c>
      <c r="AE280" s="640"/>
      <c r="AF280" s="640"/>
      <c r="AH280" s="641"/>
    </row>
    <row r="281" spans="1:34" ht="12.75" customHeight="1">
      <c r="A281" s="815"/>
      <c r="B281" s="822"/>
      <c r="C281" s="823"/>
      <c r="D281" s="823"/>
      <c r="E281" s="823"/>
      <c r="F281" s="823"/>
      <c r="G281" s="823"/>
      <c r="H281" s="824"/>
      <c r="I281" s="838"/>
      <c r="J281" s="838"/>
      <c r="K281" s="838"/>
      <c r="L281" s="838"/>
      <c r="M281" s="838"/>
      <c r="N281" s="839"/>
      <c r="O281" s="839"/>
      <c r="P281" s="839"/>
      <c r="Q281" s="839"/>
      <c r="R281" s="839"/>
      <c r="S281" s="839"/>
      <c r="T281" s="839"/>
      <c r="U281" s="839"/>
      <c r="V281" s="839"/>
      <c r="W281" s="839"/>
      <c r="X281" s="367"/>
      <c r="Y281" s="267">
        <f>MAX(N280:W281)</f>
        <v>0</v>
      </c>
      <c r="Z281" s="253">
        <v>20</v>
      </c>
      <c r="AE281" s="640"/>
      <c r="AF281" s="640"/>
      <c r="AH281" s="641"/>
    </row>
    <row r="282" spans="1:34" ht="12.75" customHeight="1">
      <c r="A282" s="813" t="s">
        <v>706</v>
      </c>
      <c r="B282" s="816" t="s">
        <v>768</v>
      </c>
      <c r="C282" s="817"/>
      <c r="D282" s="817"/>
      <c r="E282" s="817"/>
      <c r="F282" s="817"/>
      <c r="G282" s="817"/>
      <c r="H282" s="818"/>
      <c r="I282" s="825" t="s">
        <v>657</v>
      </c>
      <c r="J282" s="826"/>
      <c r="K282" s="826"/>
      <c r="L282" s="826"/>
      <c r="M282" s="827"/>
      <c r="N282" s="825" t="s">
        <v>708</v>
      </c>
      <c r="O282" s="826"/>
      <c r="P282" s="826"/>
      <c r="Q282" s="826"/>
      <c r="R282" s="827"/>
      <c r="S282" s="825" t="s">
        <v>709</v>
      </c>
      <c r="T282" s="826"/>
      <c r="U282" s="826"/>
      <c r="V282" s="826"/>
      <c r="W282" s="827"/>
      <c r="X282" s="367"/>
      <c r="AE282" s="640"/>
      <c r="AF282" s="640"/>
      <c r="AH282" s="641"/>
    </row>
    <row r="283" spans="1:34" ht="12.75" customHeight="1">
      <c r="A283" s="814"/>
      <c r="B283" s="819"/>
      <c r="C283" s="820"/>
      <c r="D283" s="820"/>
      <c r="E283" s="820"/>
      <c r="F283" s="820"/>
      <c r="G283" s="820"/>
      <c r="H283" s="821"/>
      <c r="I283" s="828"/>
      <c r="J283" s="829"/>
      <c r="K283" s="829"/>
      <c r="L283" s="829"/>
      <c r="M283" s="830"/>
      <c r="N283" s="828"/>
      <c r="O283" s="829"/>
      <c r="P283" s="829"/>
      <c r="Q283" s="829"/>
      <c r="R283" s="830"/>
      <c r="S283" s="828"/>
      <c r="T283" s="829"/>
      <c r="U283" s="829"/>
      <c r="V283" s="829"/>
      <c r="W283" s="830"/>
      <c r="X283" s="367"/>
      <c r="AE283" s="640"/>
      <c r="AF283" s="640"/>
      <c r="AH283" s="641"/>
    </row>
    <row r="284" spans="1:34" ht="12.75">
      <c r="A284" s="814"/>
      <c r="B284" s="819"/>
      <c r="C284" s="820"/>
      <c r="D284" s="820"/>
      <c r="E284" s="820"/>
      <c r="F284" s="820"/>
      <c r="G284" s="820"/>
      <c r="H284" s="821"/>
      <c r="I284" s="828"/>
      <c r="J284" s="829"/>
      <c r="K284" s="829"/>
      <c r="L284" s="829"/>
      <c r="M284" s="830"/>
      <c r="N284" s="828"/>
      <c r="O284" s="829"/>
      <c r="P284" s="829"/>
      <c r="Q284" s="829"/>
      <c r="R284" s="830"/>
      <c r="S284" s="828"/>
      <c r="T284" s="829"/>
      <c r="U284" s="829"/>
      <c r="V284" s="829"/>
      <c r="W284" s="830"/>
      <c r="X284" s="367"/>
      <c r="AE284" s="640"/>
      <c r="AF284" s="640"/>
      <c r="AH284" s="641"/>
    </row>
    <row r="285" spans="1:34" ht="12.75">
      <c r="A285" s="814"/>
      <c r="B285" s="819"/>
      <c r="C285" s="820"/>
      <c r="D285" s="820"/>
      <c r="E285" s="820"/>
      <c r="F285" s="820"/>
      <c r="G285" s="820"/>
      <c r="H285" s="821"/>
      <c r="I285" s="828"/>
      <c r="J285" s="829"/>
      <c r="K285" s="829"/>
      <c r="L285" s="829"/>
      <c r="M285" s="830"/>
      <c r="N285" s="828"/>
      <c r="O285" s="829"/>
      <c r="P285" s="829"/>
      <c r="Q285" s="829"/>
      <c r="R285" s="830"/>
      <c r="S285" s="828"/>
      <c r="T285" s="829"/>
      <c r="U285" s="829"/>
      <c r="V285" s="829"/>
      <c r="W285" s="830"/>
      <c r="X285" s="367"/>
      <c r="AE285" s="640"/>
      <c r="AF285" s="640"/>
      <c r="AH285" s="641"/>
    </row>
    <row r="286" spans="1:34" ht="72" customHeight="1">
      <c r="A286" s="814"/>
      <c r="B286" s="819"/>
      <c r="C286" s="820"/>
      <c r="D286" s="820"/>
      <c r="E286" s="820"/>
      <c r="F286" s="820"/>
      <c r="G286" s="820"/>
      <c r="H286" s="821"/>
      <c r="I286" s="831"/>
      <c r="J286" s="832"/>
      <c r="K286" s="832"/>
      <c r="L286" s="832"/>
      <c r="M286" s="833"/>
      <c r="N286" s="831"/>
      <c r="O286" s="832"/>
      <c r="P286" s="832"/>
      <c r="Q286" s="832"/>
      <c r="R286" s="833"/>
      <c r="S286" s="831"/>
      <c r="T286" s="832"/>
      <c r="U286" s="832"/>
      <c r="V286" s="832"/>
      <c r="W286" s="833"/>
      <c r="X286" s="367"/>
      <c r="Y286" s="12"/>
      <c r="Z286" s="243"/>
      <c r="AB286" s="277"/>
      <c r="AC286" s="12"/>
      <c r="AD286" s="12"/>
      <c r="AE286" s="640"/>
      <c r="AF286" s="640"/>
      <c r="AH286" s="641"/>
    </row>
    <row r="287" spans="1:34" ht="12.75" customHeight="1">
      <c r="A287" s="814"/>
      <c r="B287" s="819"/>
      <c r="C287" s="820"/>
      <c r="D287" s="820"/>
      <c r="E287" s="820"/>
      <c r="F287" s="820"/>
      <c r="G287" s="820"/>
      <c r="H287" s="821"/>
      <c r="I287" s="838">
        <f>IF(Y288=0,IF(FIO="","",0),"")</f>
      </c>
      <c r="J287" s="838"/>
      <c r="K287" s="838"/>
      <c r="L287" s="838"/>
      <c r="M287" s="838"/>
      <c r="N287" s="839"/>
      <c r="O287" s="839"/>
      <c r="P287" s="839"/>
      <c r="Q287" s="839"/>
      <c r="R287" s="839"/>
      <c r="S287" s="839"/>
      <c r="T287" s="839"/>
      <c r="U287" s="839"/>
      <c r="V287" s="839"/>
      <c r="W287" s="839"/>
      <c r="X287" s="367"/>
      <c r="Z287" s="251" t="s">
        <v>208</v>
      </c>
      <c r="AE287" s="640"/>
      <c r="AF287" s="640"/>
      <c r="AH287" s="641"/>
    </row>
    <row r="288" spans="1:34" ht="12.75" customHeight="1">
      <c r="A288" s="815"/>
      <c r="B288" s="822"/>
      <c r="C288" s="823"/>
      <c r="D288" s="823"/>
      <c r="E288" s="823"/>
      <c r="F288" s="823"/>
      <c r="G288" s="823"/>
      <c r="H288" s="824"/>
      <c r="I288" s="838"/>
      <c r="J288" s="838"/>
      <c r="K288" s="838"/>
      <c r="L288" s="838"/>
      <c r="M288" s="838"/>
      <c r="N288" s="839"/>
      <c r="O288" s="839"/>
      <c r="P288" s="839"/>
      <c r="Q288" s="839"/>
      <c r="R288" s="839"/>
      <c r="S288" s="839"/>
      <c r="T288" s="839"/>
      <c r="U288" s="839"/>
      <c r="V288" s="839"/>
      <c r="W288" s="839"/>
      <c r="X288" s="367"/>
      <c r="Y288" s="267">
        <f>MAX(N287:W288)</f>
        <v>0</v>
      </c>
      <c r="Z288" s="253">
        <v>20</v>
      </c>
      <c r="AE288" s="640"/>
      <c r="AF288" s="640"/>
      <c r="AH288" s="641"/>
    </row>
    <row r="289" spans="1:34" ht="12.75" customHeight="1">
      <c r="A289" s="298"/>
      <c r="B289" s="298"/>
      <c r="C289" s="298"/>
      <c r="D289" s="298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367"/>
      <c r="AE289" s="640"/>
      <c r="AF289" s="640"/>
      <c r="AH289" s="641"/>
    </row>
    <row r="290" spans="1:34" ht="21" customHeight="1">
      <c r="A290" s="678" t="s">
        <v>710</v>
      </c>
      <c r="B290" s="678"/>
      <c r="C290" s="678"/>
      <c r="D290" s="678"/>
      <c r="E290" s="678"/>
      <c r="F290" s="678"/>
      <c r="G290" s="678"/>
      <c r="H290" s="678"/>
      <c r="I290" s="678"/>
      <c r="J290" s="678"/>
      <c r="K290" s="678"/>
      <c r="L290" s="678"/>
      <c r="M290" s="678"/>
      <c r="N290" s="678"/>
      <c r="O290" s="678"/>
      <c r="P290" s="678"/>
      <c r="Q290" s="678"/>
      <c r="R290" s="678"/>
      <c r="S290" s="678"/>
      <c r="T290" s="678"/>
      <c r="U290" s="678"/>
      <c r="V290" s="678"/>
      <c r="W290" s="678"/>
      <c r="X290" s="367"/>
      <c r="AA290" s="664" t="s">
        <v>4</v>
      </c>
      <c r="AB290" s="666">
        <f>'общие сведения'!P12</f>
        <v>2</v>
      </c>
      <c r="AC290" s="665" t="str">
        <f>'общие сведения'!P13</f>
        <v>*без уч.</v>
      </c>
      <c r="AE290" s="640"/>
      <c r="AF290" s="640"/>
      <c r="AH290" s="641"/>
    </row>
    <row r="291" spans="1:34" ht="14.25">
      <c r="A291" s="794" t="s">
        <v>203</v>
      </c>
      <c r="B291" s="797" t="s">
        <v>204</v>
      </c>
      <c r="C291" s="798"/>
      <c r="D291" s="798"/>
      <c r="E291" s="798"/>
      <c r="F291" s="798"/>
      <c r="G291" s="798"/>
      <c r="H291" s="798"/>
      <c r="I291" s="801" t="s">
        <v>215</v>
      </c>
      <c r="J291" s="802"/>
      <c r="K291" s="802"/>
      <c r="L291" s="802"/>
      <c r="M291" s="802"/>
      <c r="N291" s="802"/>
      <c r="O291" s="802"/>
      <c r="P291" s="802"/>
      <c r="Q291" s="802"/>
      <c r="R291" s="802"/>
      <c r="S291" s="802"/>
      <c r="T291" s="802"/>
      <c r="U291" s="802"/>
      <c r="V291" s="802"/>
      <c r="W291" s="803"/>
      <c r="X291" s="367"/>
      <c r="AA291" s="5" t="s">
        <v>760</v>
      </c>
      <c r="AB291" s="190">
        <f>IF($AB$290=3,10,"")</f>
      </c>
      <c r="AC291" s="190">
        <f>IF($AB$290=3,20,"")</f>
      </c>
      <c r="AE291" s="640"/>
      <c r="AF291" s="640"/>
      <c r="AH291" s="641"/>
    </row>
    <row r="292" spans="1:34" ht="14.25" customHeight="1">
      <c r="A292" s="795"/>
      <c r="B292" s="799"/>
      <c r="C292" s="800"/>
      <c r="D292" s="800"/>
      <c r="E292" s="800"/>
      <c r="F292" s="800"/>
      <c r="G292" s="800"/>
      <c r="H292" s="800"/>
      <c r="I292" s="804" t="s">
        <v>206</v>
      </c>
      <c r="J292" s="805"/>
      <c r="K292" s="805"/>
      <c r="L292" s="805"/>
      <c r="M292" s="805"/>
      <c r="N292" s="805"/>
      <c r="O292" s="805"/>
      <c r="P292" s="805"/>
      <c r="Q292" s="805"/>
      <c r="R292" s="805"/>
      <c r="S292" s="805"/>
      <c r="T292" s="805"/>
      <c r="U292" s="805"/>
      <c r="V292" s="805"/>
      <c r="W292" s="806"/>
      <c r="X292" s="367"/>
      <c r="AE292" s="640"/>
      <c r="AF292" s="640"/>
      <c r="AH292" s="641"/>
    </row>
    <row r="293" spans="1:34" ht="14.25" customHeight="1">
      <c r="A293" s="796"/>
      <c r="B293" s="846"/>
      <c r="C293" s="847"/>
      <c r="D293" s="847"/>
      <c r="E293" s="847"/>
      <c r="F293" s="847"/>
      <c r="G293" s="847"/>
      <c r="H293" s="847"/>
      <c r="I293" s="848">
        <v>0</v>
      </c>
      <c r="J293" s="848"/>
      <c r="K293" s="848"/>
      <c r="L293" s="848"/>
      <c r="M293" s="848"/>
      <c r="N293" s="848">
        <v>10</v>
      </c>
      <c r="O293" s="848"/>
      <c r="P293" s="848"/>
      <c r="Q293" s="848"/>
      <c r="R293" s="848"/>
      <c r="S293" s="848">
        <v>20</v>
      </c>
      <c r="T293" s="848"/>
      <c r="U293" s="848"/>
      <c r="V293" s="848"/>
      <c r="W293" s="848"/>
      <c r="X293" s="367"/>
      <c r="AE293" s="640"/>
      <c r="AF293" s="640"/>
      <c r="AH293" s="641"/>
    </row>
    <row r="294" spans="1:34" ht="12.75" customHeight="1">
      <c r="A294" s="813" t="s">
        <v>712</v>
      </c>
      <c r="B294" s="816" t="s">
        <v>717</v>
      </c>
      <c r="C294" s="817"/>
      <c r="D294" s="817"/>
      <c r="E294" s="817"/>
      <c r="F294" s="817"/>
      <c r="G294" s="817"/>
      <c r="H294" s="818"/>
      <c r="I294" s="825" t="s">
        <v>657</v>
      </c>
      <c r="J294" s="826"/>
      <c r="K294" s="826"/>
      <c r="L294" s="826"/>
      <c r="M294" s="827"/>
      <c r="N294" s="825" t="s">
        <v>658</v>
      </c>
      <c r="O294" s="826"/>
      <c r="P294" s="826"/>
      <c r="Q294" s="826"/>
      <c r="R294" s="827"/>
      <c r="S294" s="825" t="s">
        <v>689</v>
      </c>
      <c r="T294" s="826"/>
      <c r="U294" s="826"/>
      <c r="V294" s="826"/>
      <c r="W294" s="827"/>
      <c r="X294" s="367"/>
      <c r="AE294" s="640"/>
      <c r="AF294" s="640"/>
      <c r="AH294" s="641"/>
    </row>
    <row r="295" spans="1:34" ht="12.75" customHeight="1">
      <c r="A295" s="814"/>
      <c r="B295" s="819"/>
      <c r="C295" s="820"/>
      <c r="D295" s="820"/>
      <c r="E295" s="820"/>
      <c r="F295" s="820"/>
      <c r="G295" s="820"/>
      <c r="H295" s="821"/>
      <c r="I295" s="828"/>
      <c r="J295" s="829"/>
      <c r="K295" s="829"/>
      <c r="L295" s="829"/>
      <c r="M295" s="830"/>
      <c r="N295" s="828"/>
      <c r="O295" s="829"/>
      <c r="P295" s="829"/>
      <c r="Q295" s="829"/>
      <c r="R295" s="830"/>
      <c r="S295" s="828"/>
      <c r="T295" s="829"/>
      <c r="U295" s="829"/>
      <c r="V295" s="829"/>
      <c r="W295" s="830"/>
      <c r="X295" s="367"/>
      <c r="AE295" s="640"/>
      <c r="AF295" s="640"/>
      <c r="AH295" s="641"/>
    </row>
    <row r="296" spans="1:34" ht="12.75" customHeight="1" hidden="1">
      <c r="A296" s="814"/>
      <c r="B296" s="819"/>
      <c r="C296" s="820"/>
      <c r="D296" s="820"/>
      <c r="E296" s="820"/>
      <c r="F296" s="820"/>
      <c r="G296" s="820"/>
      <c r="H296" s="821"/>
      <c r="I296" s="828"/>
      <c r="J296" s="829"/>
      <c r="K296" s="829"/>
      <c r="L296" s="829"/>
      <c r="M296" s="830"/>
      <c r="N296" s="828"/>
      <c r="O296" s="829"/>
      <c r="P296" s="829"/>
      <c r="Q296" s="829"/>
      <c r="R296" s="830"/>
      <c r="S296" s="828"/>
      <c r="T296" s="829"/>
      <c r="U296" s="829"/>
      <c r="V296" s="829"/>
      <c r="W296" s="830"/>
      <c r="X296" s="367"/>
      <c r="AE296" s="640"/>
      <c r="AF296" s="640"/>
      <c r="AH296" s="641"/>
    </row>
    <row r="297" spans="1:34" ht="12.75" customHeight="1" hidden="1">
      <c r="A297" s="814"/>
      <c r="B297" s="819"/>
      <c r="C297" s="820"/>
      <c r="D297" s="820"/>
      <c r="E297" s="820"/>
      <c r="F297" s="820"/>
      <c r="G297" s="820"/>
      <c r="H297" s="821"/>
      <c r="I297" s="828"/>
      <c r="J297" s="829"/>
      <c r="K297" s="829"/>
      <c r="L297" s="829"/>
      <c r="M297" s="830"/>
      <c r="N297" s="828"/>
      <c r="O297" s="829"/>
      <c r="P297" s="829"/>
      <c r="Q297" s="829"/>
      <c r="R297" s="830"/>
      <c r="S297" s="828"/>
      <c r="T297" s="829"/>
      <c r="U297" s="829"/>
      <c r="V297" s="829"/>
      <c r="W297" s="830"/>
      <c r="X297" s="367"/>
      <c r="AE297" s="640"/>
      <c r="AF297" s="640"/>
      <c r="AH297" s="641"/>
    </row>
    <row r="298" spans="1:34" ht="12.75">
      <c r="A298" s="814"/>
      <c r="B298" s="819"/>
      <c r="C298" s="820"/>
      <c r="D298" s="820"/>
      <c r="E298" s="820"/>
      <c r="F298" s="820"/>
      <c r="G298" s="820"/>
      <c r="H298" s="821"/>
      <c r="I298" s="831"/>
      <c r="J298" s="832"/>
      <c r="K298" s="832"/>
      <c r="L298" s="832"/>
      <c r="M298" s="833"/>
      <c r="N298" s="831"/>
      <c r="O298" s="832"/>
      <c r="P298" s="832"/>
      <c r="Q298" s="832"/>
      <c r="R298" s="833"/>
      <c r="S298" s="831"/>
      <c r="T298" s="832"/>
      <c r="U298" s="832"/>
      <c r="V298" s="832"/>
      <c r="W298" s="833"/>
      <c r="X298" s="367"/>
      <c r="Y298" s="12"/>
      <c r="Z298" s="243"/>
      <c r="AB298" s="277"/>
      <c r="AC298" s="12"/>
      <c r="AD298" s="12"/>
      <c r="AE298" s="640"/>
      <c r="AF298" s="640"/>
      <c r="AH298" s="641"/>
    </row>
    <row r="299" spans="1:34" ht="12.75" customHeight="1">
      <c r="A299" s="814"/>
      <c r="B299" s="819"/>
      <c r="C299" s="820"/>
      <c r="D299" s="820"/>
      <c r="E299" s="820"/>
      <c r="F299" s="820"/>
      <c r="G299" s="820"/>
      <c r="H299" s="821"/>
      <c r="I299" s="834">
        <f>IF(OR(FIO="",Y300&gt;0),"",IF(AND($AB$290&lt;3,N299&amp;S299&lt;&gt;""),"НЕ заполнять! Только для д.домов",0))</f>
      </c>
      <c r="J299" s="834"/>
      <c r="K299" s="834"/>
      <c r="L299" s="834"/>
      <c r="M299" s="835"/>
      <c r="N299" s="834"/>
      <c r="O299" s="834"/>
      <c r="P299" s="834"/>
      <c r="Q299" s="834"/>
      <c r="R299" s="835"/>
      <c r="S299" s="834" t="s">
        <v>761</v>
      </c>
      <c r="T299" s="834"/>
      <c r="U299" s="834"/>
      <c r="V299" s="834"/>
      <c r="W299" s="835"/>
      <c r="X299" s="367"/>
      <c r="Z299" s="251" t="s">
        <v>208</v>
      </c>
      <c r="AE299" s="640"/>
      <c r="AF299" s="640"/>
      <c r="AH299" s="641"/>
    </row>
    <row r="300" spans="1:34" ht="12.75" customHeight="1">
      <c r="A300" s="815"/>
      <c r="B300" s="822"/>
      <c r="C300" s="823"/>
      <c r="D300" s="823"/>
      <c r="E300" s="823"/>
      <c r="F300" s="823"/>
      <c r="G300" s="823"/>
      <c r="H300" s="824"/>
      <c r="I300" s="836"/>
      <c r="J300" s="836"/>
      <c r="K300" s="836"/>
      <c r="L300" s="836"/>
      <c r="M300" s="837"/>
      <c r="N300" s="836"/>
      <c r="O300" s="836"/>
      <c r="P300" s="836"/>
      <c r="Q300" s="836"/>
      <c r="R300" s="837"/>
      <c r="S300" s="836"/>
      <c r="T300" s="836"/>
      <c r="U300" s="836"/>
      <c r="V300" s="836"/>
      <c r="W300" s="837"/>
      <c r="X300" s="367"/>
      <c r="Y300" s="267">
        <f>IF($AB$290=3,MAX(N299:W300),0)</f>
        <v>0</v>
      </c>
      <c r="Z300" s="253">
        <v>20</v>
      </c>
      <c r="AE300" s="640"/>
      <c r="AF300" s="640"/>
      <c r="AH300" s="641"/>
    </row>
    <row r="301" spans="1:34" ht="12.75" customHeight="1">
      <c r="A301" s="813" t="s">
        <v>711</v>
      </c>
      <c r="B301" s="816" t="s">
        <v>718</v>
      </c>
      <c r="C301" s="817"/>
      <c r="D301" s="817"/>
      <c r="E301" s="817"/>
      <c r="F301" s="817"/>
      <c r="G301" s="817"/>
      <c r="H301" s="818"/>
      <c r="I301" s="825" t="s">
        <v>657</v>
      </c>
      <c r="J301" s="826"/>
      <c r="K301" s="826"/>
      <c r="L301" s="826"/>
      <c r="M301" s="827"/>
      <c r="N301" s="825" t="s">
        <v>658</v>
      </c>
      <c r="O301" s="826"/>
      <c r="P301" s="826"/>
      <c r="Q301" s="826"/>
      <c r="R301" s="827"/>
      <c r="S301" s="825" t="s">
        <v>689</v>
      </c>
      <c r="T301" s="826"/>
      <c r="U301" s="826"/>
      <c r="V301" s="826"/>
      <c r="W301" s="827"/>
      <c r="X301" s="367"/>
      <c r="AE301" s="640"/>
      <c r="AF301" s="640"/>
      <c r="AH301" s="641"/>
    </row>
    <row r="302" spans="1:34" ht="12.75" customHeight="1">
      <c r="A302" s="814"/>
      <c r="B302" s="819"/>
      <c r="C302" s="820"/>
      <c r="D302" s="820"/>
      <c r="E302" s="820"/>
      <c r="F302" s="820"/>
      <c r="G302" s="820"/>
      <c r="H302" s="821"/>
      <c r="I302" s="828"/>
      <c r="J302" s="829"/>
      <c r="K302" s="829"/>
      <c r="L302" s="829"/>
      <c r="M302" s="830"/>
      <c r="N302" s="828"/>
      <c r="O302" s="829"/>
      <c r="P302" s="829"/>
      <c r="Q302" s="829"/>
      <c r="R302" s="830"/>
      <c r="S302" s="828"/>
      <c r="T302" s="829"/>
      <c r="U302" s="829"/>
      <c r="V302" s="829"/>
      <c r="W302" s="830"/>
      <c r="X302" s="367"/>
      <c r="AE302" s="640"/>
      <c r="AF302" s="640"/>
      <c r="AH302" s="641"/>
    </row>
    <row r="303" spans="1:34" ht="12.75" customHeight="1" hidden="1">
      <c r="A303" s="814"/>
      <c r="B303" s="819"/>
      <c r="C303" s="820"/>
      <c r="D303" s="820"/>
      <c r="E303" s="820"/>
      <c r="F303" s="820"/>
      <c r="G303" s="820"/>
      <c r="H303" s="821"/>
      <c r="I303" s="828"/>
      <c r="J303" s="829"/>
      <c r="K303" s="829"/>
      <c r="L303" s="829"/>
      <c r="M303" s="830"/>
      <c r="N303" s="828"/>
      <c r="O303" s="829"/>
      <c r="P303" s="829"/>
      <c r="Q303" s="829"/>
      <c r="R303" s="830"/>
      <c r="S303" s="828"/>
      <c r="T303" s="829"/>
      <c r="U303" s="829"/>
      <c r="V303" s="829"/>
      <c r="W303" s="830"/>
      <c r="X303" s="367"/>
      <c r="AE303" s="640"/>
      <c r="AF303" s="640"/>
      <c r="AH303" s="641"/>
    </row>
    <row r="304" spans="1:34" ht="12.75" customHeight="1" hidden="1">
      <c r="A304" s="814"/>
      <c r="B304" s="819"/>
      <c r="C304" s="820"/>
      <c r="D304" s="820"/>
      <c r="E304" s="820"/>
      <c r="F304" s="820"/>
      <c r="G304" s="820"/>
      <c r="H304" s="821"/>
      <c r="I304" s="828"/>
      <c r="J304" s="829"/>
      <c r="K304" s="829"/>
      <c r="L304" s="829"/>
      <c r="M304" s="830"/>
      <c r="N304" s="828"/>
      <c r="O304" s="829"/>
      <c r="P304" s="829"/>
      <c r="Q304" s="829"/>
      <c r="R304" s="830"/>
      <c r="S304" s="828"/>
      <c r="T304" s="829"/>
      <c r="U304" s="829"/>
      <c r="V304" s="829"/>
      <c r="W304" s="830"/>
      <c r="X304" s="367"/>
      <c r="AE304" s="640"/>
      <c r="AF304" s="640"/>
      <c r="AH304" s="641"/>
    </row>
    <row r="305" spans="1:34" ht="12.75">
      <c r="A305" s="814"/>
      <c r="B305" s="819"/>
      <c r="C305" s="820"/>
      <c r="D305" s="820"/>
      <c r="E305" s="820"/>
      <c r="F305" s="820"/>
      <c r="G305" s="820"/>
      <c r="H305" s="821"/>
      <c r="I305" s="831"/>
      <c r="J305" s="832"/>
      <c r="K305" s="832"/>
      <c r="L305" s="832"/>
      <c r="M305" s="833"/>
      <c r="N305" s="831"/>
      <c r="O305" s="832"/>
      <c r="P305" s="832"/>
      <c r="Q305" s="832"/>
      <c r="R305" s="833"/>
      <c r="S305" s="831"/>
      <c r="T305" s="832"/>
      <c r="U305" s="832"/>
      <c r="V305" s="832"/>
      <c r="W305" s="833"/>
      <c r="X305" s="367"/>
      <c r="Y305" s="12"/>
      <c r="Z305" s="243"/>
      <c r="AB305" s="277"/>
      <c r="AC305" s="12"/>
      <c r="AD305" s="12"/>
      <c r="AE305" s="640"/>
      <c r="AF305" s="640"/>
      <c r="AH305" s="641"/>
    </row>
    <row r="306" spans="1:34" ht="12.75" customHeight="1">
      <c r="A306" s="814"/>
      <c r="B306" s="819"/>
      <c r="C306" s="820"/>
      <c r="D306" s="820"/>
      <c r="E306" s="820"/>
      <c r="F306" s="820"/>
      <c r="G306" s="820"/>
      <c r="H306" s="821"/>
      <c r="I306" s="834">
        <f>IF(OR(FIO="",Y307&gt;0),"",IF(AND($AB$290&lt;3,N306&amp;S306&lt;&gt;""),"НЕ заполнять! Только для д.домов",0))</f>
      </c>
      <c r="J306" s="834"/>
      <c r="K306" s="834"/>
      <c r="L306" s="834"/>
      <c r="M306" s="835"/>
      <c r="N306" s="834" t="s">
        <v>761</v>
      </c>
      <c r="O306" s="834"/>
      <c r="P306" s="834"/>
      <c r="Q306" s="834"/>
      <c r="R306" s="835"/>
      <c r="S306" s="834"/>
      <c r="T306" s="834"/>
      <c r="U306" s="834"/>
      <c r="V306" s="834"/>
      <c r="W306" s="835"/>
      <c r="X306" s="367"/>
      <c r="Z306" s="251" t="s">
        <v>208</v>
      </c>
      <c r="AE306" s="640"/>
      <c r="AF306" s="640"/>
      <c r="AH306" s="641"/>
    </row>
    <row r="307" spans="1:34" ht="12.75" customHeight="1">
      <c r="A307" s="815"/>
      <c r="B307" s="822"/>
      <c r="C307" s="823"/>
      <c r="D307" s="823"/>
      <c r="E307" s="823"/>
      <c r="F307" s="823"/>
      <c r="G307" s="823"/>
      <c r="H307" s="824"/>
      <c r="I307" s="836"/>
      <c r="J307" s="836"/>
      <c r="K307" s="836"/>
      <c r="L307" s="836"/>
      <c r="M307" s="837"/>
      <c r="N307" s="836"/>
      <c r="O307" s="836"/>
      <c r="P307" s="836"/>
      <c r="Q307" s="836"/>
      <c r="R307" s="837"/>
      <c r="S307" s="836"/>
      <c r="T307" s="836"/>
      <c r="U307" s="836"/>
      <c r="V307" s="836"/>
      <c r="W307" s="837"/>
      <c r="X307" s="367"/>
      <c r="Y307" s="267">
        <f>IF($AB$290=3,MAX(N306:W307),0)</f>
        <v>0</v>
      </c>
      <c r="Z307" s="253">
        <v>20</v>
      </c>
      <c r="AE307" s="640"/>
      <c r="AF307" s="640"/>
      <c r="AH307" s="641"/>
    </row>
    <row r="308" spans="1:34" ht="12.75" customHeight="1">
      <c r="A308" s="813" t="s">
        <v>713</v>
      </c>
      <c r="B308" s="816" t="s">
        <v>719</v>
      </c>
      <c r="C308" s="817"/>
      <c r="D308" s="817"/>
      <c r="E308" s="817"/>
      <c r="F308" s="817"/>
      <c r="G308" s="817"/>
      <c r="H308" s="818"/>
      <c r="I308" s="825" t="s">
        <v>657</v>
      </c>
      <c r="J308" s="826"/>
      <c r="K308" s="826"/>
      <c r="L308" s="826"/>
      <c r="M308" s="827"/>
      <c r="N308" s="825" t="s">
        <v>658</v>
      </c>
      <c r="O308" s="826"/>
      <c r="P308" s="826"/>
      <c r="Q308" s="826"/>
      <c r="R308" s="827"/>
      <c r="S308" s="825" t="s">
        <v>689</v>
      </c>
      <c r="T308" s="826"/>
      <c r="U308" s="826"/>
      <c r="V308" s="826"/>
      <c r="W308" s="827"/>
      <c r="X308" s="367"/>
      <c r="AE308" s="640"/>
      <c r="AF308" s="640"/>
      <c r="AH308" s="641"/>
    </row>
    <row r="309" spans="1:34" ht="12.75" customHeight="1">
      <c r="A309" s="814"/>
      <c r="B309" s="819"/>
      <c r="C309" s="820"/>
      <c r="D309" s="820"/>
      <c r="E309" s="820"/>
      <c r="F309" s="820"/>
      <c r="G309" s="820"/>
      <c r="H309" s="821"/>
      <c r="I309" s="828"/>
      <c r="J309" s="829"/>
      <c r="K309" s="829"/>
      <c r="L309" s="829"/>
      <c r="M309" s="830"/>
      <c r="N309" s="828"/>
      <c r="O309" s="829"/>
      <c r="P309" s="829"/>
      <c r="Q309" s="829"/>
      <c r="R309" s="830"/>
      <c r="S309" s="828"/>
      <c r="T309" s="829"/>
      <c r="U309" s="829"/>
      <c r="V309" s="829"/>
      <c r="W309" s="830"/>
      <c r="X309" s="367"/>
      <c r="AE309" s="640"/>
      <c r="AF309" s="640"/>
      <c r="AH309" s="641"/>
    </row>
    <row r="310" spans="1:34" ht="12.75" customHeight="1" hidden="1">
      <c r="A310" s="814"/>
      <c r="B310" s="819"/>
      <c r="C310" s="820"/>
      <c r="D310" s="820"/>
      <c r="E310" s="820"/>
      <c r="F310" s="820"/>
      <c r="G310" s="820"/>
      <c r="H310" s="821"/>
      <c r="I310" s="828"/>
      <c r="J310" s="829"/>
      <c r="K310" s="829"/>
      <c r="L310" s="829"/>
      <c r="M310" s="830"/>
      <c r="N310" s="828"/>
      <c r="O310" s="829"/>
      <c r="P310" s="829"/>
      <c r="Q310" s="829"/>
      <c r="R310" s="830"/>
      <c r="S310" s="828"/>
      <c r="T310" s="829"/>
      <c r="U310" s="829"/>
      <c r="V310" s="829"/>
      <c r="W310" s="830"/>
      <c r="X310" s="367"/>
      <c r="AE310" s="640"/>
      <c r="AF310" s="640"/>
      <c r="AH310" s="641"/>
    </row>
    <row r="311" spans="1:34" ht="12.75" customHeight="1" hidden="1">
      <c r="A311" s="814"/>
      <c r="B311" s="819"/>
      <c r="C311" s="820"/>
      <c r="D311" s="820"/>
      <c r="E311" s="820"/>
      <c r="F311" s="820"/>
      <c r="G311" s="820"/>
      <c r="H311" s="821"/>
      <c r="I311" s="828"/>
      <c r="J311" s="829"/>
      <c r="K311" s="829"/>
      <c r="L311" s="829"/>
      <c r="M311" s="830"/>
      <c r="N311" s="828"/>
      <c r="O311" s="829"/>
      <c r="P311" s="829"/>
      <c r="Q311" s="829"/>
      <c r="R311" s="830"/>
      <c r="S311" s="828"/>
      <c r="T311" s="829"/>
      <c r="U311" s="829"/>
      <c r="V311" s="829"/>
      <c r="W311" s="830"/>
      <c r="X311" s="367"/>
      <c r="AE311" s="640"/>
      <c r="AF311" s="640"/>
      <c r="AH311" s="641"/>
    </row>
    <row r="312" spans="1:34" ht="12.75">
      <c r="A312" s="814"/>
      <c r="B312" s="819"/>
      <c r="C312" s="820"/>
      <c r="D312" s="820"/>
      <c r="E312" s="820"/>
      <c r="F312" s="820"/>
      <c r="G312" s="820"/>
      <c r="H312" s="821"/>
      <c r="I312" s="831"/>
      <c r="J312" s="832"/>
      <c r="K312" s="832"/>
      <c r="L312" s="832"/>
      <c r="M312" s="833"/>
      <c r="N312" s="831"/>
      <c r="O312" s="832"/>
      <c r="P312" s="832"/>
      <c r="Q312" s="832"/>
      <c r="R312" s="833"/>
      <c r="S312" s="831"/>
      <c r="T312" s="832"/>
      <c r="U312" s="832"/>
      <c r="V312" s="832"/>
      <c r="W312" s="833"/>
      <c r="X312" s="367"/>
      <c r="Y312" s="12"/>
      <c r="Z312" s="243"/>
      <c r="AB312" s="277"/>
      <c r="AC312" s="12"/>
      <c r="AD312" s="12"/>
      <c r="AE312" s="640"/>
      <c r="AF312" s="640"/>
      <c r="AH312" s="641"/>
    </row>
    <row r="313" spans="1:34" ht="12.75" customHeight="1">
      <c r="A313" s="814"/>
      <c r="B313" s="819"/>
      <c r="C313" s="820"/>
      <c r="D313" s="820"/>
      <c r="E313" s="820"/>
      <c r="F313" s="820"/>
      <c r="G313" s="820"/>
      <c r="H313" s="821"/>
      <c r="I313" s="834">
        <f>IF(OR(FIO="",Y314&gt;0),"",IF(AND($AB$290&lt;3,N313&amp;S313&lt;&gt;""),"НЕ заполнять! Только для д.домов",0))</f>
      </c>
      <c r="J313" s="834"/>
      <c r="K313" s="834"/>
      <c r="L313" s="834"/>
      <c r="M313" s="835"/>
      <c r="N313" s="834"/>
      <c r="O313" s="834"/>
      <c r="P313" s="834"/>
      <c r="Q313" s="834"/>
      <c r="R313" s="835"/>
      <c r="S313" s="834"/>
      <c r="T313" s="834"/>
      <c r="U313" s="834"/>
      <c r="V313" s="834"/>
      <c r="W313" s="835"/>
      <c r="X313" s="367"/>
      <c r="Z313" s="251" t="s">
        <v>208</v>
      </c>
      <c r="AE313" s="640"/>
      <c r="AF313" s="640"/>
      <c r="AH313" s="641"/>
    </row>
    <row r="314" spans="1:34" ht="12.75" customHeight="1">
      <c r="A314" s="815"/>
      <c r="B314" s="822"/>
      <c r="C314" s="823"/>
      <c r="D314" s="823"/>
      <c r="E314" s="823"/>
      <c r="F314" s="823"/>
      <c r="G314" s="823"/>
      <c r="H314" s="824"/>
      <c r="I314" s="836"/>
      <c r="J314" s="836"/>
      <c r="K314" s="836"/>
      <c r="L314" s="836"/>
      <c r="M314" s="837"/>
      <c r="N314" s="836"/>
      <c r="O314" s="836"/>
      <c r="P314" s="836"/>
      <c r="Q314" s="836"/>
      <c r="R314" s="837"/>
      <c r="S314" s="836"/>
      <c r="T314" s="836"/>
      <c r="U314" s="836"/>
      <c r="V314" s="836"/>
      <c r="W314" s="837"/>
      <c r="X314" s="367"/>
      <c r="Y314" s="267">
        <f>IF($AB$290=3,MAX(N313:W314),0)</f>
        <v>0</v>
      </c>
      <c r="Z314" s="253">
        <v>20</v>
      </c>
      <c r="AE314" s="640"/>
      <c r="AF314" s="640"/>
      <c r="AH314" s="641"/>
    </row>
    <row r="315" spans="1:34" ht="12.75" customHeight="1">
      <c r="A315" s="813" t="s">
        <v>714</v>
      </c>
      <c r="B315" s="816" t="s">
        <v>720</v>
      </c>
      <c r="C315" s="817"/>
      <c r="D315" s="817"/>
      <c r="E315" s="817"/>
      <c r="F315" s="817"/>
      <c r="G315" s="817"/>
      <c r="H315" s="818"/>
      <c r="I315" s="825" t="s">
        <v>657</v>
      </c>
      <c r="J315" s="826"/>
      <c r="K315" s="826"/>
      <c r="L315" s="826"/>
      <c r="M315" s="827"/>
      <c r="N315" s="825" t="s">
        <v>658</v>
      </c>
      <c r="O315" s="826"/>
      <c r="P315" s="826"/>
      <c r="Q315" s="826"/>
      <c r="R315" s="827"/>
      <c r="S315" s="825" t="s">
        <v>689</v>
      </c>
      <c r="T315" s="826"/>
      <c r="U315" s="826"/>
      <c r="V315" s="826"/>
      <c r="W315" s="827"/>
      <c r="X315" s="367"/>
      <c r="AE315" s="640"/>
      <c r="AF315" s="640"/>
      <c r="AH315" s="641"/>
    </row>
    <row r="316" spans="1:34" ht="12.75" customHeight="1">
      <c r="A316" s="814"/>
      <c r="B316" s="819"/>
      <c r="C316" s="820"/>
      <c r="D316" s="820"/>
      <c r="E316" s="820"/>
      <c r="F316" s="820"/>
      <c r="G316" s="820"/>
      <c r="H316" s="821"/>
      <c r="I316" s="828"/>
      <c r="J316" s="829"/>
      <c r="K316" s="829"/>
      <c r="L316" s="829"/>
      <c r="M316" s="830"/>
      <c r="N316" s="828"/>
      <c r="O316" s="829"/>
      <c r="P316" s="829"/>
      <c r="Q316" s="829"/>
      <c r="R316" s="830"/>
      <c r="S316" s="828"/>
      <c r="T316" s="829"/>
      <c r="U316" s="829"/>
      <c r="V316" s="829"/>
      <c r="W316" s="830"/>
      <c r="X316" s="367"/>
      <c r="AE316" s="640"/>
      <c r="AF316" s="640"/>
      <c r="AH316" s="641"/>
    </row>
    <row r="317" spans="1:34" ht="12.75" customHeight="1" hidden="1">
      <c r="A317" s="814"/>
      <c r="B317" s="819"/>
      <c r="C317" s="820"/>
      <c r="D317" s="820"/>
      <c r="E317" s="820"/>
      <c r="F317" s="820"/>
      <c r="G317" s="820"/>
      <c r="H317" s="821"/>
      <c r="I317" s="828"/>
      <c r="J317" s="829"/>
      <c r="K317" s="829"/>
      <c r="L317" s="829"/>
      <c r="M317" s="830"/>
      <c r="N317" s="828"/>
      <c r="O317" s="829"/>
      <c r="P317" s="829"/>
      <c r="Q317" s="829"/>
      <c r="R317" s="830"/>
      <c r="S317" s="828"/>
      <c r="T317" s="829"/>
      <c r="U317" s="829"/>
      <c r="V317" s="829"/>
      <c r="W317" s="830"/>
      <c r="X317" s="367"/>
      <c r="AE317" s="640"/>
      <c r="AF317" s="640"/>
      <c r="AH317" s="641"/>
    </row>
    <row r="318" spans="1:34" ht="12.75" customHeight="1" hidden="1">
      <c r="A318" s="814"/>
      <c r="B318" s="819"/>
      <c r="C318" s="820"/>
      <c r="D318" s="820"/>
      <c r="E318" s="820"/>
      <c r="F318" s="820"/>
      <c r="G318" s="820"/>
      <c r="H318" s="821"/>
      <c r="I318" s="828"/>
      <c r="J318" s="829"/>
      <c r="K318" s="829"/>
      <c r="L318" s="829"/>
      <c r="M318" s="830"/>
      <c r="N318" s="828"/>
      <c r="O318" s="829"/>
      <c r="P318" s="829"/>
      <c r="Q318" s="829"/>
      <c r="R318" s="830"/>
      <c r="S318" s="828"/>
      <c r="T318" s="829"/>
      <c r="U318" s="829"/>
      <c r="V318" s="829"/>
      <c r="W318" s="830"/>
      <c r="X318" s="367"/>
      <c r="AE318" s="640"/>
      <c r="AF318" s="640"/>
      <c r="AH318" s="641"/>
    </row>
    <row r="319" spans="1:34" ht="12.75">
      <c r="A319" s="814"/>
      <c r="B319" s="819"/>
      <c r="C319" s="820"/>
      <c r="D319" s="820"/>
      <c r="E319" s="820"/>
      <c r="F319" s="820"/>
      <c r="G319" s="820"/>
      <c r="H319" s="821"/>
      <c r="I319" s="831"/>
      <c r="J319" s="832"/>
      <c r="K319" s="832"/>
      <c r="L319" s="832"/>
      <c r="M319" s="833"/>
      <c r="N319" s="831"/>
      <c r="O319" s="832"/>
      <c r="P319" s="832"/>
      <c r="Q319" s="832"/>
      <c r="R319" s="833"/>
      <c r="S319" s="831"/>
      <c r="T319" s="832"/>
      <c r="U319" s="832"/>
      <c r="V319" s="832"/>
      <c r="W319" s="833"/>
      <c r="X319" s="367"/>
      <c r="Y319" s="12"/>
      <c r="Z319" s="243"/>
      <c r="AB319" s="277"/>
      <c r="AC319" s="12"/>
      <c r="AD319" s="12"/>
      <c r="AE319" s="640"/>
      <c r="AF319" s="640"/>
      <c r="AH319" s="641"/>
    </row>
    <row r="320" spans="1:34" ht="12.75" customHeight="1">
      <c r="A320" s="814"/>
      <c r="B320" s="819"/>
      <c r="C320" s="820"/>
      <c r="D320" s="820"/>
      <c r="E320" s="820"/>
      <c r="F320" s="820"/>
      <c r="G320" s="820"/>
      <c r="H320" s="821"/>
      <c r="I320" s="834">
        <f>IF(OR(FIO="",Y321&gt;0),"",IF(AND($AB$290&lt;3,N320&amp;S320&lt;&gt;""),"НЕ заполнять! Только для д.домов",0))</f>
      </c>
      <c r="J320" s="834"/>
      <c r="K320" s="834"/>
      <c r="L320" s="834"/>
      <c r="M320" s="835"/>
      <c r="N320" s="834"/>
      <c r="O320" s="834"/>
      <c r="P320" s="834"/>
      <c r="Q320" s="834"/>
      <c r="R320" s="835"/>
      <c r="S320" s="834"/>
      <c r="T320" s="834"/>
      <c r="U320" s="834"/>
      <c r="V320" s="834"/>
      <c r="W320" s="835"/>
      <c r="X320" s="367"/>
      <c r="Z320" s="251" t="s">
        <v>208</v>
      </c>
      <c r="AE320" s="640"/>
      <c r="AF320" s="640"/>
      <c r="AH320" s="641"/>
    </row>
    <row r="321" spans="1:34" ht="12.75" customHeight="1">
      <c r="A321" s="815"/>
      <c r="B321" s="822"/>
      <c r="C321" s="823"/>
      <c r="D321" s="823"/>
      <c r="E321" s="823"/>
      <c r="F321" s="823"/>
      <c r="G321" s="823"/>
      <c r="H321" s="824"/>
      <c r="I321" s="836"/>
      <c r="J321" s="836"/>
      <c r="K321" s="836"/>
      <c r="L321" s="836"/>
      <c r="M321" s="837"/>
      <c r="N321" s="836"/>
      <c r="O321" s="836"/>
      <c r="P321" s="836"/>
      <c r="Q321" s="836"/>
      <c r="R321" s="837"/>
      <c r="S321" s="836"/>
      <c r="T321" s="836"/>
      <c r="U321" s="836"/>
      <c r="V321" s="836"/>
      <c r="W321" s="837"/>
      <c r="X321" s="367"/>
      <c r="Y321" s="267">
        <f>IF($AB$290=3,MAX(N320:W321),0)</f>
        <v>0</v>
      </c>
      <c r="Z321" s="253">
        <v>20</v>
      </c>
      <c r="AE321" s="640"/>
      <c r="AF321" s="640"/>
      <c r="AH321" s="641"/>
    </row>
    <row r="322" spans="1:34" ht="12.75" customHeight="1">
      <c r="A322" s="813" t="s">
        <v>715</v>
      </c>
      <c r="B322" s="816" t="s">
        <v>721</v>
      </c>
      <c r="C322" s="817"/>
      <c r="D322" s="817"/>
      <c r="E322" s="817"/>
      <c r="F322" s="817"/>
      <c r="G322" s="817"/>
      <c r="H322" s="818"/>
      <c r="I322" s="825" t="s">
        <v>657</v>
      </c>
      <c r="J322" s="826"/>
      <c r="K322" s="826"/>
      <c r="L322" s="826"/>
      <c r="M322" s="827"/>
      <c r="N322" s="825" t="s">
        <v>658</v>
      </c>
      <c r="O322" s="826"/>
      <c r="P322" s="826"/>
      <c r="Q322" s="826"/>
      <c r="R322" s="827"/>
      <c r="S322" s="825" t="s">
        <v>689</v>
      </c>
      <c r="T322" s="826"/>
      <c r="U322" s="826"/>
      <c r="V322" s="826"/>
      <c r="W322" s="827"/>
      <c r="X322" s="367"/>
      <c r="AE322" s="640"/>
      <c r="AF322" s="640"/>
      <c r="AH322" s="641"/>
    </row>
    <row r="323" spans="1:34" ht="12.75" customHeight="1">
      <c r="A323" s="814"/>
      <c r="B323" s="819"/>
      <c r="C323" s="820"/>
      <c r="D323" s="820"/>
      <c r="E323" s="820"/>
      <c r="F323" s="820"/>
      <c r="G323" s="820"/>
      <c r="H323" s="821"/>
      <c r="I323" s="828"/>
      <c r="J323" s="829"/>
      <c r="K323" s="829"/>
      <c r="L323" s="829"/>
      <c r="M323" s="830"/>
      <c r="N323" s="828"/>
      <c r="O323" s="829"/>
      <c r="P323" s="829"/>
      <c r="Q323" s="829"/>
      <c r="R323" s="830"/>
      <c r="S323" s="828"/>
      <c r="T323" s="829"/>
      <c r="U323" s="829"/>
      <c r="V323" s="829"/>
      <c r="W323" s="830"/>
      <c r="X323" s="367"/>
      <c r="AE323" s="640"/>
      <c r="AF323" s="640"/>
      <c r="AH323" s="641"/>
    </row>
    <row r="324" spans="1:34" ht="12.75" customHeight="1" hidden="1">
      <c r="A324" s="814"/>
      <c r="B324" s="819"/>
      <c r="C324" s="820"/>
      <c r="D324" s="820"/>
      <c r="E324" s="820"/>
      <c r="F324" s="820"/>
      <c r="G324" s="820"/>
      <c r="H324" s="821"/>
      <c r="I324" s="828"/>
      <c r="J324" s="829"/>
      <c r="K324" s="829"/>
      <c r="L324" s="829"/>
      <c r="M324" s="830"/>
      <c r="N324" s="828"/>
      <c r="O324" s="829"/>
      <c r="P324" s="829"/>
      <c r="Q324" s="829"/>
      <c r="R324" s="830"/>
      <c r="S324" s="828"/>
      <c r="T324" s="829"/>
      <c r="U324" s="829"/>
      <c r="V324" s="829"/>
      <c r="W324" s="830"/>
      <c r="X324" s="367"/>
      <c r="AE324" s="640"/>
      <c r="AF324" s="640"/>
      <c r="AH324" s="641"/>
    </row>
    <row r="325" spans="1:34" ht="12.75" customHeight="1" hidden="1">
      <c r="A325" s="814"/>
      <c r="B325" s="819"/>
      <c r="C325" s="820"/>
      <c r="D325" s="820"/>
      <c r="E325" s="820"/>
      <c r="F325" s="820"/>
      <c r="G325" s="820"/>
      <c r="H325" s="821"/>
      <c r="I325" s="828"/>
      <c r="J325" s="829"/>
      <c r="K325" s="829"/>
      <c r="L325" s="829"/>
      <c r="M325" s="830"/>
      <c r="N325" s="828"/>
      <c r="O325" s="829"/>
      <c r="P325" s="829"/>
      <c r="Q325" s="829"/>
      <c r="R325" s="830"/>
      <c r="S325" s="828"/>
      <c r="T325" s="829"/>
      <c r="U325" s="829"/>
      <c r="V325" s="829"/>
      <c r="W325" s="830"/>
      <c r="X325" s="367"/>
      <c r="AE325" s="640"/>
      <c r="AF325" s="640"/>
      <c r="AH325" s="641"/>
    </row>
    <row r="326" spans="1:34" ht="12.75">
      <c r="A326" s="814"/>
      <c r="B326" s="819"/>
      <c r="C326" s="820"/>
      <c r="D326" s="820"/>
      <c r="E326" s="820"/>
      <c r="F326" s="820"/>
      <c r="G326" s="820"/>
      <c r="H326" s="821"/>
      <c r="I326" s="831"/>
      <c r="J326" s="832"/>
      <c r="K326" s="832"/>
      <c r="L326" s="832"/>
      <c r="M326" s="833"/>
      <c r="N326" s="831"/>
      <c r="O326" s="832"/>
      <c r="P326" s="832"/>
      <c r="Q326" s="832"/>
      <c r="R326" s="833"/>
      <c r="S326" s="831"/>
      <c r="T326" s="832"/>
      <c r="U326" s="832"/>
      <c r="V326" s="832"/>
      <c r="W326" s="833"/>
      <c r="X326" s="367"/>
      <c r="Y326" s="12"/>
      <c r="Z326" s="243"/>
      <c r="AB326" s="277"/>
      <c r="AC326" s="12"/>
      <c r="AD326" s="12"/>
      <c r="AE326" s="640"/>
      <c r="AF326" s="640"/>
      <c r="AH326" s="641"/>
    </row>
    <row r="327" spans="1:34" ht="12.75" customHeight="1">
      <c r="A327" s="814"/>
      <c r="B327" s="819"/>
      <c r="C327" s="820"/>
      <c r="D327" s="820"/>
      <c r="E327" s="820"/>
      <c r="F327" s="820"/>
      <c r="G327" s="820"/>
      <c r="H327" s="821"/>
      <c r="I327" s="834">
        <f>IF(OR(FIO="",Y328&gt;0),"",IF(AND($AB$290&lt;3,N327&amp;S327&lt;&gt;""),"НЕ заполнять! Только для д.домов",0))</f>
      </c>
      <c r="J327" s="834"/>
      <c r="K327" s="834"/>
      <c r="L327" s="834"/>
      <c r="M327" s="835"/>
      <c r="N327" s="834"/>
      <c r="O327" s="834"/>
      <c r="P327" s="834"/>
      <c r="Q327" s="834"/>
      <c r="R327" s="835"/>
      <c r="S327" s="834"/>
      <c r="T327" s="834"/>
      <c r="U327" s="834"/>
      <c r="V327" s="834"/>
      <c r="W327" s="835"/>
      <c r="X327" s="367"/>
      <c r="Z327" s="251" t="s">
        <v>208</v>
      </c>
      <c r="AE327" s="640"/>
      <c r="AF327" s="640"/>
      <c r="AH327" s="641"/>
    </row>
    <row r="328" spans="1:34" ht="12.75" customHeight="1">
      <c r="A328" s="815"/>
      <c r="B328" s="822"/>
      <c r="C328" s="823"/>
      <c r="D328" s="823"/>
      <c r="E328" s="823"/>
      <c r="F328" s="823"/>
      <c r="G328" s="823"/>
      <c r="H328" s="824"/>
      <c r="I328" s="836"/>
      <c r="J328" s="836"/>
      <c r="K328" s="836"/>
      <c r="L328" s="836"/>
      <c r="M328" s="837"/>
      <c r="N328" s="836"/>
      <c r="O328" s="836"/>
      <c r="P328" s="836"/>
      <c r="Q328" s="836"/>
      <c r="R328" s="837"/>
      <c r="S328" s="836"/>
      <c r="T328" s="836"/>
      <c r="U328" s="836"/>
      <c r="V328" s="836"/>
      <c r="W328" s="837"/>
      <c r="X328" s="367"/>
      <c r="Y328" s="267">
        <f>IF($AB$290=3,MAX(N327:W328),0)</f>
        <v>0</v>
      </c>
      <c r="Z328" s="253">
        <v>20</v>
      </c>
      <c r="AE328" s="640"/>
      <c r="AF328" s="640"/>
      <c r="AH328" s="641"/>
    </row>
    <row r="329" spans="1:34" ht="15">
      <c r="A329" s="644"/>
      <c r="B329" s="643"/>
      <c r="C329" s="643"/>
      <c r="D329" s="643"/>
      <c r="E329" s="643"/>
      <c r="F329" s="643"/>
      <c r="G329" s="643"/>
      <c r="H329" s="643"/>
      <c r="I329" s="194"/>
      <c r="J329" s="194"/>
      <c r="K329" s="194"/>
      <c r="L329" s="194"/>
      <c r="M329" s="194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367"/>
      <c r="Y329" s="293"/>
      <c r="Z329" s="293"/>
      <c r="AE329" s="640"/>
      <c r="AF329" s="640"/>
      <c r="AH329" s="641"/>
    </row>
    <row r="330" spans="1:34" ht="9.75" customHeight="1">
      <c r="A330" s="646" t="s">
        <v>209</v>
      </c>
      <c r="B330" s="642"/>
      <c r="C330" s="642"/>
      <c r="D330" s="642"/>
      <c r="E330" s="642"/>
      <c r="F330" s="643"/>
      <c r="G330" s="643"/>
      <c r="H330" s="643"/>
      <c r="I330" s="194"/>
      <c r="J330" s="194"/>
      <c r="K330" s="194"/>
      <c r="L330" s="194"/>
      <c r="M330" s="194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367"/>
      <c r="Y330" s="293"/>
      <c r="Z330" s="293"/>
      <c r="AE330" s="640"/>
      <c r="AF330" s="640"/>
      <c r="AH330" s="641"/>
    </row>
    <row r="331" spans="1:123" ht="15" customHeight="1">
      <c r="A331" s="5"/>
      <c r="B331" s="784" t="s">
        <v>716</v>
      </c>
      <c r="C331" s="784"/>
      <c r="D331" s="784"/>
      <c r="E331" s="784"/>
      <c r="F331" s="784"/>
      <c r="G331" s="784"/>
      <c r="H331" s="784"/>
      <c r="I331" s="784"/>
      <c r="J331" s="784"/>
      <c r="K331" s="784"/>
      <c r="L331" s="784"/>
      <c r="M331" s="784"/>
      <c r="N331" s="784"/>
      <c r="O331" s="784"/>
      <c r="P331" s="784"/>
      <c r="Q331" s="784"/>
      <c r="R331" s="784"/>
      <c r="S331" s="784"/>
      <c r="T331" s="784"/>
      <c r="U331" s="784"/>
      <c r="V331" s="784"/>
      <c r="W331" s="784"/>
      <c r="X331" s="445"/>
      <c r="Y331" s="293"/>
      <c r="Z331" s="293"/>
      <c r="AA331" s="293"/>
      <c r="AB331" s="293"/>
      <c r="AC331" s="293"/>
      <c r="AD331" s="293"/>
      <c r="AE331" s="293"/>
      <c r="AF331" s="293"/>
      <c r="AG331" s="293"/>
      <c r="AH331" s="367"/>
      <c r="AI331" s="293"/>
      <c r="AJ331" s="293"/>
      <c r="AK331" s="293"/>
      <c r="AL331" s="293"/>
      <c r="AM331" s="293"/>
      <c r="AQ331" s="293"/>
      <c r="AR331" s="293"/>
      <c r="AS331" s="293"/>
      <c r="AT331" s="293"/>
      <c r="AU331" s="293"/>
      <c r="AV331" s="293"/>
      <c r="BD331" s="293"/>
      <c r="BE331" s="293"/>
      <c r="BF331" s="293"/>
      <c r="BG331" s="293"/>
      <c r="BH331" s="293"/>
      <c r="BI331" s="293"/>
      <c r="BJ331" s="293"/>
      <c r="BK331" s="293"/>
      <c r="BS331" s="293"/>
      <c r="BT331" s="293"/>
      <c r="BU331" s="293"/>
      <c r="BV331" s="293"/>
      <c r="BW331" s="293"/>
      <c r="BX331" s="293"/>
      <c r="BY331" s="293"/>
      <c r="BZ331" s="293"/>
      <c r="CH331" s="293"/>
      <c r="CI331" s="293"/>
      <c r="CJ331" s="293"/>
      <c r="CK331" s="293"/>
      <c r="CL331" s="293"/>
      <c r="CM331" s="293"/>
      <c r="CN331" s="293"/>
      <c r="CO331" s="293"/>
      <c r="CW331" s="293"/>
      <c r="CX331" s="293"/>
      <c r="CY331" s="293"/>
      <c r="CZ331" s="293"/>
      <c r="DA331" s="293"/>
      <c r="DB331" s="293"/>
      <c r="DC331" s="293"/>
      <c r="DD331" s="293"/>
      <c r="DL331" s="293"/>
      <c r="DM331" s="293"/>
      <c r="DN331" s="293"/>
      <c r="DO331" s="293"/>
      <c r="DP331" s="293"/>
      <c r="DQ331" s="293"/>
      <c r="DR331" s="293"/>
      <c r="DS331" s="293"/>
    </row>
    <row r="332" spans="1:123" ht="12.75">
      <c r="A332" s="5"/>
      <c r="B332" s="784"/>
      <c r="C332" s="784"/>
      <c r="D332" s="784"/>
      <c r="E332" s="784"/>
      <c r="F332" s="784"/>
      <c r="G332" s="784"/>
      <c r="H332" s="784"/>
      <c r="I332" s="784"/>
      <c r="J332" s="784"/>
      <c r="K332" s="784"/>
      <c r="L332" s="784"/>
      <c r="M332" s="784"/>
      <c r="N332" s="784"/>
      <c r="O332" s="784"/>
      <c r="P332" s="784"/>
      <c r="Q332" s="784"/>
      <c r="R332" s="784"/>
      <c r="S332" s="784"/>
      <c r="T332" s="784"/>
      <c r="U332" s="784"/>
      <c r="V332" s="784"/>
      <c r="W332" s="784"/>
      <c r="X332" s="445"/>
      <c r="Y332" s="293"/>
      <c r="Z332" s="293"/>
      <c r="AA332" s="293"/>
      <c r="AB332" s="293"/>
      <c r="AC332" s="293"/>
      <c r="AD332" s="293"/>
      <c r="AE332" s="293"/>
      <c r="AF332" s="293"/>
      <c r="AG332" s="293"/>
      <c r="AH332" s="367"/>
      <c r="AI332" s="293"/>
      <c r="AJ332" s="293"/>
      <c r="AK332" s="293"/>
      <c r="AL332" s="293"/>
      <c r="AM332" s="293"/>
      <c r="AQ332" s="293"/>
      <c r="AR332" s="293"/>
      <c r="AS332" s="293"/>
      <c r="AT332" s="293"/>
      <c r="AU332" s="293"/>
      <c r="AV332" s="293"/>
      <c r="BD332" s="293"/>
      <c r="BE332" s="293"/>
      <c r="BF332" s="293"/>
      <c r="BG332" s="293"/>
      <c r="BH332" s="293"/>
      <c r="BI332" s="293"/>
      <c r="BJ332" s="293"/>
      <c r="BK332" s="293"/>
      <c r="BS332" s="293"/>
      <c r="BT332" s="293"/>
      <c r="BU332" s="293"/>
      <c r="BV332" s="293"/>
      <c r="BW332" s="293"/>
      <c r="BX332" s="293"/>
      <c r="BY332" s="293"/>
      <c r="BZ332" s="293"/>
      <c r="CH332" s="293"/>
      <c r="CI332" s="293"/>
      <c r="CJ332" s="293"/>
      <c r="CK332" s="293"/>
      <c r="CL332" s="293"/>
      <c r="CM332" s="293"/>
      <c r="CN332" s="293"/>
      <c r="CO332" s="293"/>
      <c r="CW332" s="293"/>
      <c r="CX332" s="293"/>
      <c r="CY332" s="293"/>
      <c r="CZ332" s="293"/>
      <c r="DA332" s="293"/>
      <c r="DB332" s="293"/>
      <c r="DC332" s="293"/>
      <c r="DD332" s="293"/>
      <c r="DL332" s="293"/>
      <c r="DM332" s="293"/>
      <c r="DN332" s="293"/>
      <c r="DO332" s="293"/>
      <c r="DP332" s="293"/>
      <c r="DQ332" s="293"/>
      <c r="DR332" s="293"/>
      <c r="DS332" s="293"/>
    </row>
    <row r="333" spans="1:45" ht="6" customHeight="1">
      <c r="A333" s="279"/>
      <c r="B333" s="289"/>
      <c r="C333" s="289"/>
      <c r="D333" s="289"/>
      <c r="E333" s="289"/>
      <c r="F333" s="289"/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289"/>
      <c r="S333" s="289"/>
      <c r="T333" s="289"/>
      <c r="U333" s="289"/>
      <c r="V333" s="289"/>
      <c r="W333" s="289"/>
      <c r="X333" s="445"/>
      <c r="AD333" s="189"/>
      <c r="AG333" s="12"/>
      <c r="AH333" s="367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</row>
    <row r="334" spans="1:34" ht="15" customHeight="1">
      <c r="A334" s="250" t="s">
        <v>191</v>
      </c>
      <c r="B334" s="1096" t="s">
        <v>216</v>
      </c>
      <c r="C334" s="1096"/>
      <c r="D334" s="1096"/>
      <c r="E334" s="1096"/>
      <c r="F334" s="1096"/>
      <c r="G334" s="1096"/>
      <c r="H334" s="1096"/>
      <c r="I334" s="1096"/>
      <c r="J334" s="1096"/>
      <c r="K334" s="1096"/>
      <c r="L334" s="1096"/>
      <c r="M334" s="1096"/>
      <c r="N334" s="1096"/>
      <c r="O334" s="1096"/>
      <c r="P334" s="1096"/>
      <c r="Q334" s="1096"/>
      <c r="R334" s="1096"/>
      <c r="S334" s="1096"/>
      <c r="T334" s="1096"/>
      <c r="U334" s="1096"/>
      <c r="V334" s="1096"/>
      <c r="W334" s="1096"/>
      <c r="X334" s="445"/>
      <c r="Y334" s="288" t="str">
        <f>A334</f>
        <v>3.</v>
      </c>
      <c r="Z334" s="287"/>
      <c r="AA334" s="251" t="s">
        <v>279</v>
      </c>
      <c r="AB334" s="251" t="s">
        <v>208</v>
      </c>
      <c r="AC334" s="251" t="s">
        <v>278</v>
      </c>
      <c r="AE334" s="313" t="s">
        <v>280</v>
      </c>
      <c r="AG334" s="286"/>
      <c r="AH334" s="367"/>
    </row>
    <row r="335" spans="2:34" ht="15" customHeight="1">
      <c r="B335" s="1096"/>
      <c r="C335" s="1096"/>
      <c r="D335" s="1096"/>
      <c r="E335" s="1096"/>
      <c r="F335" s="1096"/>
      <c r="G335" s="1096"/>
      <c r="H335" s="1096"/>
      <c r="I335" s="1096"/>
      <c r="J335" s="1096"/>
      <c r="K335" s="1096"/>
      <c r="L335" s="1096"/>
      <c r="M335" s="1096"/>
      <c r="N335" s="1096"/>
      <c r="O335" s="1096"/>
      <c r="P335" s="1096"/>
      <c r="Q335" s="1096"/>
      <c r="R335" s="1096"/>
      <c r="S335" s="1096"/>
      <c r="T335" s="1096"/>
      <c r="U335" s="1096"/>
      <c r="V335" s="1096"/>
      <c r="W335" s="1096"/>
      <c r="X335" s="445"/>
      <c r="Z335" s="271" t="s">
        <v>289</v>
      </c>
      <c r="AA335" s="268">
        <f>SUM(Y336:Y523)</f>
        <v>0</v>
      </c>
      <c r="AB335" s="253">
        <f>SUM(Z336:Z522)</f>
        <v>990</v>
      </c>
      <c r="AC335" s="270">
        <f>SUM(AA336:AA522)</f>
        <v>130</v>
      </c>
      <c r="AD335" s="283"/>
      <c r="AE335" s="313" t="b">
        <f>итого_2&gt;=AC335</f>
        <v>0</v>
      </c>
      <c r="AH335" s="367"/>
    </row>
    <row r="336" spans="1:64" ht="13.5" customHeight="1">
      <c r="A336" s="907" t="s">
        <v>201</v>
      </c>
      <c r="B336" s="907"/>
      <c r="C336" s="907"/>
      <c r="D336" s="907"/>
      <c r="E336" s="907"/>
      <c r="F336" s="907"/>
      <c r="G336" s="907"/>
      <c r="H336" s="907"/>
      <c r="I336" s="907"/>
      <c r="J336" s="907"/>
      <c r="K336" s="907"/>
      <c r="L336" s="907"/>
      <c r="M336" s="907"/>
      <c r="N336" s="907"/>
      <c r="O336" s="907"/>
      <c r="P336" s="907"/>
      <c r="Q336" s="907"/>
      <c r="R336" s="907"/>
      <c r="S336" s="907"/>
      <c r="T336" s="907"/>
      <c r="U336" s="907"/>
      <c r="V336" s="907"/>
      <c r="W336" s="907"/>
      <c r="X336" s="445"/>
      <c r="Y336" s="208"/>
      <c r="AB336" s="208"/>
      <c r="AC336" s="208"/>
      <c r="AD336" s="208"/>
      <c r="AF336" s="208"/>
      <c r="AG336" s="208"/>
      <c r="AH336" s="367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  <c r="BI336" s="208"/>
      <c r="BJ336" s="208"/>
      <c r="BK336" s="208"/>
      <c r="BL336" s="208"/>
    </row>
    <row r="337" spans="1:64" ht="12.75" customHeight="1">
      <c r="A337" s="1074" t="s">
        <v>202</v>
      </c>
      <c r="B337" s="908" t="s">
        <v>217</v>
      </c>
      <c r="C337" s="908"/>
      <c r="D337" s="908"/>
      <c r="E337" s="908"/>
      <c r="F337" s="908"/>
      <c r="G337" s="908"/>
      <c r="H337" s="908"/>
      <c r="I337" s="908"/>
      <c r="J337" s="908"/>
      <c r="K337" s="908"/>
      <c r="L337" s="908"/>
      <c r="M337" s="908"/>
      <c r="N337" s="908"/>
      <c r="O337" s="908"/>
      <c r="P337" s="908"/>
      <c r="Q337" s="908"/>
      <c r="R337" s="908"/>
      <c r="S337" s="908"/>
      <c r="T337" s="908"/>
      <c r="U337" s="908"/>
      <c r="V337" s="908"/>
      <c r="W337" s="908"/>
      <c r="X337" s="445"/>
      <c r="Y337" s="208"/>
      <c r="AB337" s="208"/>
      <c r="AC337" s="208"/>
      <c r="AD337" s="208"/>
      <c r="AE337" s="208"/>
      <c r="AF337" s="208"/>
      <c r="AG337" s="208"/>
      <c r="AH337" s="367"/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  <c r="BI337" s="208"/>
      <c r="BJ337" s="208"/>
      <c r="BK337" s="208"/>
      <c r="BL337" s="208"/>
    </row>
    <row r="338" spans="1:64" ht="12.75" customHeight="1">
      <c r="A338" s="1074"/>
      <c r="B338" s="908"/>
      <c r="C338" s="908"/>
      <c r="D338" s="908"/>
      <c r="E338" s="908"/>
      <c r="F338" s="908"/>
      <c r="G338" s="908"/>
      <c r="H338" s="908"/>
      <c r="I338" s="908"/>
      <c r="J338" s="908"/>
      <c r="K338" s="908"/>
      <c r="L338" s="908"/>
      <c r="M338" s="908"/>
      <c r="N338" s="908"/>
      <c r="O338" s="908"/>
      <c r="P338" s="908"/>
      <c r="Q338" s="908"/>
      <c r="R338" s="908"/>
      <c r="S338" s="908"/>
      <c r="T338" s="908"/>
      <c r="U338" s="908"/>
      <c r="V338" s="908"/>
      <c r="W338" s="908"/>
      <c r="X338" s="445"/>
      <c r="Y338" s="208"/>
      <c r="AB338" s="208"/>
      <c r="AC338" s="208"/>
      <c r="AD338" s="208"/>
      <c r="AE338" s="208"/>
      <c r="AF338" s="208"/>
      <c r="AG338" s="208"/>
      <c r="AH338" s="367"/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  <c r="AW338" s="208"/>
      <c r="AX338" s="208"/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  <c r="BI338" s="208"/>
      <c r="BJ338" s="208"/>
      <c r="BK338" s="208"/>
      <c r="BL338" s="208"/>
    </row>
    <row r="339" spans="1:64" ht="12.75" customHeight="1">
      <c r="A339" s="1074"/>
      <c r="B339" s="908"/>
      <c r="C339" s="908"/>
      <c r="D339" s="908"/>
      <c r="E339" s="908"/>
      <c r="F339" s="908"/>
      <c r="G339" s="908"/>
      <c r="H339" s="908"/>
      <c r="I339" s="908"/>
      <c r="J339" s="908"/>
      <c r="K339" s="908"/>
      <c r="L339" s="908"/>
      <c r="M339" s="908"/>
      <c r="N339" s="908"/>
      <c r="O339" s="908"/>
      <c r="P339" s="908"/>
      <c r="Q339" s="908"/>
      <c r="R339" s="908"/>
      <c r="S339" s="908"/>
      <c r="T339" s="908"/>
      <c r="U339" s="908"/>
      <c r="V339" s="908"/>
      <c r="W339" s="908"/>
      <c r="X339" s="445"/>
      <c r="Y339" s="208"/>
      <c r="AB339" s="208"/>
      <c r="AC339" s="208"/>
      <c r="AD339" s="208"/>
      <c r="AE339" s="208"/>
      <c r="AF339" s="208"/>
      <c r="AG339" s="208"/>
      <c r="AH339" s="367"/>
      <c r="AI339" s="208"/>
      <c r="AJ339" s="208"/>
      <c r="AK339" s="208"/>
      <c r="AL339" s="208"/>
      <c r="AM339" s="208"/>
      <c r="AN339" s="208"/>
      <c r="AO339" s="208"/>
      <c r="AP339" s="208"/>
      <c r="AQ339" s="208"/>
      <c r="AR339" s="208"/>
      <c r="AS339" s="208"/>
      <c r="AT339" s="208"/>
      <c r="AU339" s="208"/>
      <c r="AV339" s="208"/>
      <c r="AW339" s="208"/>
      <c r="AX339" s="208"/>
      <c r="AY339" s="208"/>
      <c r="AZ339" s="208"/>
      <c r="BA339" s="208"/>
      <c r="BB339" s="208"/>
      <c r="BC339" s="208"/>
      <c r="BD339" s="208"/>
      <c r="BE339" s="208"/>
      <c r="BF339" s="208"/>
      <c r="BG339" s="208"/>
      <c r="BH339" s="208"/>
      <c r="BI339" s="208"/>
      <c r="BJ339" s="208"/>
      <c r="BK339" s="208"/>
      <c r="BL339" s="208"/>
    </row>
    <row r="340" spans="1:64" ht="11.25" customHeight="1">
      <c r="A340" s="1074"/>
      <c r="B340" s="908"/>
      <c r="C340" s="908"/>
      <c r="D340" s="908"/>
      <c r="E340" s="908"/>
      <c r="F340" s="908"/>
      <c r="G340" s="908"/>
      <c r="H340" s="908"/>
      <c r="I340" s="908"/>
      <c r="J340" s="908"/>
      <c r="K340" s="908"/>
      <c r="L340" s="908"/>
      <c r="M340" s="908"/>
      <c r="N340" s="908"/>
      <c r="O340" s="908"/>
      <c r="P340" s="908"/>
      <c r="Q340" s="908"/>
      <c r="R340" s="908"/>
      <c r="S340" s="908"/>
      <c r="T340" s="908"/>
      <c r="U340" s="908"/>
      <c r="V340" s="908"/>
      <c r="W340" s="908"/>
      <c r="X340" s="445"/>
      <c r="Y340" s="208"/>
      <c r="AB340" s="208"/>
      <c r="AC340" s="208"/>
      <c r="AD340" s="208"/>
      <c r="AE340" s="208"/>
      <c r="AF340" s="208"/>
      <c r="AG340" s="208"/>
      <c r="AH340" s="367"/>
      <c r="AI340" s="208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08"/>
      <c r="AT340" s="208"/>
      <c r="AU340" s="208"/>
      <c r="AV340" s="208"/>
      <c r="AW340" s="208"/>
      <c r="AX340" s="208"/>
      <c r="AY340" s="208"/>
      <c r="AZ340" s="208"/>
      <c r="BA340" s="208"/>
      <c r="BB340" s="208"/>
      <c r="BC340" s="208"/>
      <c r="BD340" s="208"/>
      <c r="BE340" s="208"/>
      <c r="BF340" s="208"/>
      <c r="BG340" s="208"/>
      <c r="BH340" s="208"/>
      <c r="BI340" s="208"/>
      <c r="BJ340" s="208"/>
      <c r="BK340" s="208"/>
      <c r="BL340" s="208"/>
    </row>
    <row r="341" spans="1:64" ht="9.75" customHeight="1">
      <c r="A341" s="1074"/>
      <c r="B341" s="908"/>
      <c r="C341" s="908"/>
      <c r="D341" s="908"/>
      <c r="E341" s="908"/>
      <c r="F341" s="908"/>
      <c r="G341" s="908"/>
      <c r="H341" s="908"/>
      <c r="I341" s="908"/>
      <c r="J341" s="908"/>
      <c r="K341" s="908"/>
      <c r="L341" s="908"/>
      <c r="M341" s="908"/>
      <c r="N341" s="908"/>
      <c r="O341" s="908"/>
      <c r="P341" s="908"/>
      <c r="Q341" s="908"/>
      <c r="R341" s="908"/>
      <c r="S341" s="908"/>
      <c r="T341" s="908"/>
      <c r="U341" s="908"/>
      <c r="V341" s="908"/>
      <c r="W341" s="908"/>
      <c r="X341" s="445"/>
      <c r="Y341" s="209"/>
      <c r="AB341" s="209"/>
      <c r="AC341" s="209"/>
      <c r="AD341" s="209"/>
      <c r="AE341" s="209"/>
      <c r="AF341" s="209"/>
      <c r="AG341" s="209"/>
      <c r="AH341" s="367"/>
      <c r="AI341" s="209"/>
      <c r="AJ341" s="209"/>
      <c r="AK341" s="209"/>
      <c r="AL341" s="209"/>
      <c r="AM341" s="209"/>
      <c r="AN341" s="209"/>
      <c r="AO341" s="209"/>
      <c r="AP341" s="209"/>
      <c r="AQ341" s="209"/>
      <c r="AR341" s="209"/>
      <c r="AS341" s="209"/>
      <c r="AT341" s="209"/>
      <c r="AU341" s="209"/>
      <c r="AV341" s="209"/>
      <c r="AW341" s="209"/>
      <c r="AX341" s="209"/>
      <c r="AY341" s="209"/>
      <c r="AZ341" s="209"/>
      <c r="BA341" s="209"/>
      <c r="BB341" s="209"/>
      <c r="BC341" s="209"/>
      <c r="BD341" s="209"/>
      <c r="BE341" s="209"/>
      <c r="BF341" s="209"/>
      <c r="BG341" s="209"/>
      <c r="BH341" s="209"/>
      <c r="BI341" s="209"/>
      <c r="BJ341" s="209"/>
      <c r="BK341" s="209"/>
      <c r="BL341" s="209"/>
    </row>
    <row r="342" spans="1:64" ht="12.75" customHeight="1">
      <c r="A342" s="1074" t="s">
        <v>202</v>
      </c>
      <c r="B342" s="962" t="s">
        <v>218</v>
      </c>
      <c r="C342" s="962"/>
      <c r="D342" s="962"/>
      <c r="E342" s="962"/>
      <c r="F342" s="962"/>
      <c r="G342" s="962"/>
      <c r="H342" s="962"/>
      <c r="I342" s="962"/>
      <c r="J342" s="962"/>
      <c r="K342" s="962"/>
      <c r="L342" s="962"/>
      <c r="M342" s="962"/>
      <c r="N342" s="962"/>
      <c r="O342" s="962"/>
      <c r="P342" s="962"/>
      <c r="Q342" s="962"/>
      <c r="R342" s="962"/>
      <c r="S342" s="962"/>
      <c r="T342" s="962"/>
      <c r="U342" s="962"/>
      <c r="V342" s="962"/>
      <c r="W342" s="962"/>
      <c r="X342" s="445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367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209"/>
      <c r="BA342" s="209"/>
      <c r="BB342" s="209"/>
      <c r="BC342" s="209"/>
      <c r="BD342" s="209"/>
      <c r="BE342" s="209"/>
      <c r="BF342" s="209"/>
      <c r="BG342" s="209"/>
      <c r="BH342" s="209"/>
      <c r="BI342" s="209"/>
      <c r="BJ342" s="209"/>
      <c r="BK342" s="209"/>
      <c r="BL342" s="209"/>
    </row>
    <row r="343" spans="1:64" ht="12.75" customHeight="1">
      <c r="A343" s="1074"/>
      <c r="B343" s="962"/>
      <c r="C343" s="962"/>
      <c r="D343" s="962"/>
      <c r="E343" s="962"/>
      <c r="F343" s="962"/>
      <c r="G343" s="962"/>
      <c r="H343" s="962"/>
      <c r="I343" s="962"/>
      <c r="J343" s="962"/>
      <c r="K343" s="962"/>
      <c r="L343" s="962"/>
      <c r="M343" s="962"/>
      <c r="N343" s="962"/>
      <c r="O343" s="962"/>
      <c r="P343" s="962"/>
      <c r="Q343" s="962"/>
      <c r="R343" s="962"/>
      <c r="S343" s="962"/>
      <c r="T343" s="962"/>
      <c r="U343" s="962"/>
      <c r="V343" s="962"/>
      <c r="W343" s="962"/>
      <c r="X343" s="445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367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  <c r="AT343" s="209"/>
      <c r="AU343" s="209"/>
      <c r="AV343" s="209"/>
      <c r="AW343" s="209"/>
      <c r="AX343" s="209"/>
      <c r="AY343" s="209"/>
      <c r="AZ343" s="209"/>
      <c r="BA343" s="209"/>
      <c r="BB343" s="209"/>
      <c r="BC343" s="209"/>
      <c r="BD343" s="209"/>
      <c r="BE343" s="209"/>
      <c r="BF343" s="209"/>
      <c r="BG343" s="209"/>
      <c r="BH343" s="209"/>
      <c r="BI343" s="209"/>
      <c r="BJ343" s="209"/>
      <c r="BK343" s="209"/>
      <c r="BL343" s="209"/>
    </row>
    <row r="344" spans="1:64" ht="12.75" customHeight="1">
      <c r="A344" s="1074"/>
      <c r="B344" s="962"/>
      <c r="C344" s="962"/>
      <c r="D344" s="962"/>
      <c r="E344" s="962"/>
      <c r="F344" s="962"/>
      <c r="G344" s="962"/>
      <c r="H344" s="962"/>
      <c r="I344" s="962"/>
      <c r="J344" s="962"/>
      <c r="K344" s="962"/>
      <c r="L344" s="962"/>
      <c r="M344" s="962"/>
      <c r="N344" s="962"/>
      <c r="O344" s="962"/>
      <c r="P344" s="962"/>
      <c r="Q344" s="962"/>
      <c r="R344" s="962"/>
      <c r="S344" s="962"/>
      <c r="T344" s="962"/>
      <c r="U344" s="962"/>
      <c r="V344" s="962"/>
      <c r="W344" s="962"/>
      <c r="X344" s="445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367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  <c r="AT344" s="209"/>
      <c r="AU344" s="209"/>
      <c r="AV344" s="209"/>
      <c r="AW344" s="209"/>
      <c r="AX344" s="209"/>
      <c r="AY344" s="209"/>
      <c r="AZ344" s="209"/>
      <c r="BA344" s="209"/>
      <c r="BB344" s="209"/>
      <c r="BC344" s="209"/>
      <c r="BD344" s="209"/>
      <c r="BE344" s="209"/>
      <c r="BF344" s="209"/>
      <c r="BG344" s="209"/>
      <c r="BH344" s="209"/>
      <c r="BI344" s="209"/>
      <c r="BJ344" s="209"/>
      <c r="BK344" s="209"/>
      <c r="BL344" s="209"/>
    </row>
    <row r="345" spans="1:64" ht="12.75" customHeight="1">
      <c r="A345" s="1074"/>
      <c r="B345" s="962"/>
      <c r="C345" s="962"/>
      <c r="D345" s="962"/>
      <c r="E345" s="962"/>
      <c r="F345" s="962"/>
      <c r="G345" s="962"/>
      <c r="H345" s="962"/>
      <c r="I345" s="962"/>
      <c r="J345" s="962"/>
      <c r="K345" s="962"/>
      <c r="L345" s="962"/>
      <c r="M345" s="962"/>
      <c r="N345" s="962"/>
      <c r="O345" s="962"/>
      <c r="P345" s="962"/>
      <c r="Q345" s="962"/>
      <c r="R345" s="962"/>
      <c r="S345" s="962"/>
      <c r="T345" s="962"/>
      <c r="U345" s="962"/>
      <c r="V345" s="962"/>
      <c r="W345" s="962"/>
      <c r="X345" s="445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367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  <c r="AT345" s="209"/>
      <c r="AU345" s="209"/>
      <c r="AV345" s="209"/>
      <c r="AW345" s="209"/>
      <c r="AX345" s="209"/>
      <c r="AY345" s="209"/>
      <c r="AZ345" s="209"/>
      <c r="BA345" s="209"/>
      <c r="BB345" s="209"/>
      <c r="BC345" s="209"/>
      <c r="BD345" s="209"/>
      <c r="BE345" s="209"/>
      <c r="BF345" s="209"/>
      <c r="BG345" s="209"/>
      <c r="BH345" s="209"/>
      <c r="BI345" s="209"/>
      <c r="BJ345" s="209"/>
      <c r="BK345" s="209"/>
      <c r="BL345" s="209"/>
    </row>
    <row r="346" spans="1:64" ht="12.75" customHeight="1">
      <c r="A346" s="1074"/>
      <c r="B346" s="962"/>
      <c r="C346" s="962"/>
      <c r="D346" s="962"/>
      <c r="E346" s="962"/>
      <c r="F346" s="962"/>
      <c r="G346" s="962"/>
      <c r="H346" s="962"/>
      <c r="I346" s="962"/>
      <c r="J346" s="962"/>
      <c r="K346" s="962"/>
      <c r="L346" s="962"/>
      <c r="M346" s="962"/>
      <c r="N346" s="962"/>
      <c r="O346" s="962"/>
      <c r="P346" s="962"/>
      <c r="Q346" s="962"/>
      <c r="R346" s="962"/>
      <c r="S346" s="962"/>
      <c r="T346" s="962"/>
      <c r="U346" s="962"/>
      <c r="V346" s="962"/>
      <c r="W346" s="962"/>
      <c r="X346" s="445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367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  <c r="AT346" s="209"/>
      <c r="AU346" s="209"/>
      <c r="AV346" s="209"/>
      <c r="AW346" s="209"/>
      <c r="AX346" s="209"/>
      <c r="AY346" s="209"/>
      <c r="AZ346" s="209"/>
      <c r="BA346" s="209"/>
      <c r="BB346" s="209"/>
      <c r="BC346" s="209"/>
      <c r="BD346" s="209"/>
      <c r="BE346" s="209"/>
      <c r="BF346" s="209"/>
      <c r="BG346" s="209"/>
      <c r="BH346" s="209"/>
      <c r="BI346" s="209"/>
      <c r="BJ346" s="209"/>
      <c r="BK346" s="209"/>
      <c r="BL346" s="209"/>
    </row>
    <row r="347" spans="1:34" ht="11.25" customHeight="1">
      <c r="A347" s="1074"/>
      <c r="B347" s="962"/>
      <c r="C347" s="962"/>
      <c r="D347" s="962"/>
      <c r="E347" s="962"/>
      <c r="F347" s="962"/>
      <c r="G347" s="962"/>
      <c r="H347" s="962"/>
      <c r="I347" s="962"/>
      <c r="J347" s="962"/>
      <c r="K347" s="962"/>
      <c r="L347" s="962"/>
      <c r="M347" s="962"/>
      <c r="N347" s="962"/>
      <c r="O347" s="962"/>
      <c r="P347" s="962"/>
      <c r="Q347" s="962"/>
      <c r="R347" s="962"/>
      <c r="S347" s="962"/>
      <c r="T347" s="962"/>
      <c r="U347" s="962"/>
      <c r="V347" s="962"/>
      <c r="W347" s="962"/>
      <c r="X347" s="445"/>
      <c r="AH347" s="367"/>
    </row>
    <row r="348" spans="1:256" ht="12.75">
      <c r="A348" s="1074"/>
      <c r="B348" s="962"/>
      <c r="C348" s="962"/>
      <c r="D348" s="962"/>
      <c r="E348" s="962"/>
      <c r="F348" s="962"/>
      <c r="G348" s="962"/>
      <c r="H348" s="962"/>
      <c r="I348" s="962"/>
      <c r="J348" s="962"/>
      <c r="K348" s="962"/>
      <c r="L348" s="962"/>
      <c r="M348" s="962"/>
      <c r="N348" s="962"/>
      <c r="O348" s="962"/>
      <c r="P348" s="962"/>
      <c r="Q348" s="962"/>
      <c r="R348" s="962"/>
      <c r="S348" s="962"/>
      <c r="T348" s="962"/>
      <c r="U348" s="962"/>
      <c r="V348" s="962"/>
      <c r="W348" s="962"/>
      <c r="X348" s="445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367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1"/>
      <c r="AT348" s="191"/>
      <c r="AU348" s="191"/>
      <c r="AV348" s="191"/>
      <c r="AW348" s="191"/>
      <c r="AX348" s="191"/>
      <c r="AY348" s="191"/>
      <c r="AZ348" s="191"/>
      <c r="BA348" s="191"/>
      <c r="BB348" s="191"/>
      <c r="BC348" s="191"/>
      <c r="BD348" s="191"/>
      <c r="BE348" s="191"/>
      <c r="BF348" s="191"/>
      <c r="BG348" s="191"/>
      <c r="BH348" s="191"/>
      <c r="BI348" s="191"/>
      <c r="BJ348" s="191"/>
      <c r="BK348" s="191"/>
      <c r="BL348" s="191"/>
      <c r="BM348" s="196"/>
      <c r="BN348" s="142"/>
      <c r="BO348" s="192"/>
      <c r="BP348" s="151"/>
      <c r="BQ348" s="151"/>
      <c r="BR348" s="193"/>
      <c r="BS348" s="151"/>
      <c r="BT348" s="151"/>
      <c r="BU348" s="151"/>
      <c r="BV348" s="151"/>
      <c r="BW348" s="151"/>
      <c r="BX348" s="151"/>
      <c r="BY348" s="191"/>
      <c r="BZ348" s="191"/>
      <c r="CA348" s="191"/>
      <c r="CB348" s="191"/>
      <c r="CC348" s="191"/>
      <c r="CD348" s="191"/>
      <c r="CE348" s="191"/>
      <c r="CF348" s="191"/>
      <c r="CG348" s="191"/>
      <c r="CH348" s="191"/>
      <c r="CI348" s="191"/>
      <c r="CJ348" s="191"/>
      <c r="CK348" s="191"/>
      <c r="CL348" s="191"/>
      <c r="CM348" s="191"/>
      <c r="CN348" s="191"/>
      <c r="CO348" s="191"/>
      <c r="CP348" s="191"/>
      <c r="CQ348" s="191"/>
      <c r="CR348" s="191"/>
      <c r="CS348" s="191"/>
      <c r="CT348" s="191"/>
      <c r="CU348" s="191"/>
      <c r="CV348" s="191"/>
      <c r="CW348" s="191"/>
      <c r="CX348" s="191"/>
      <c r="CY348" s="191"/>
      <c r="CZ348" s="191"/>
      <c r="DA348" s="191"/>
      <c r="DB348" s="191"/>
      <c r="DC348" s="191"/>
      <c r="DD348" s="191"/>
      <c r="DE348" s="191"/>
      <c r="DG348" s="191"/>
      <c r="DH348" s="191"/>
      <c r="DI348" s="191"/>
      <c r="DJ348" s="191"/>
      <c r="DK348" s="191"/>
      <c r="DL348" s="191"/>
      <c r="DM348" s="191"/>
      <c r="DN348" s="191"/>
      <c r="DO348" s="191"/>
      <c r="DP348" s="191"/>
      <c r="DQ348" s="191"/>
      <c r="DR348" s="191"/>
      <c r="DS348" s="191"/>
      <c r="DT348" s="191"/>
      <c r="DU348" s="191"/>
      <c r="DV348" s="191"/>
      <c r="DW348" s="191"/>
      <c r="DX348" s="191"/>
      <c r="DY348" s="191"/>
      <c r="DZ348" s="191"/>
      <c r="EA348" s="191"/>
      <c r="EB348" s="191"/>
      <c r="EC348" s="191"/>
      <c r="ED348" s="191"/>
      <c r="EE348" s="191"/>
      <c r="EF348" s="191"/>
      <c r="EG348" s="191"/>
      <c r="EH348" s="191"/>
      <c r="EI348" s="191"/>
      <c r="EJ348" s="191"/>
      <c r="EK348" s="191"/>
      <c r="EL348" s="191"/>
      <c r="EM348" s="191"/>
      <c r="EN348" s="191"/>
      <c r="EO348" s="191"/>
      <c r="EP348" s="191"/>
      <c r="EQ348" s="191"/>
      <c r="ER348" s="191"/>
      <c r="ES348" s="191"/>
      <c r="ET348" s="191"/>
      <c r="EU348" s="191"/>
      <c r="EV348" s="191"/>
      <c r="EW348" s="191"/>
      <c r="EX348" s="191"/>
      <c r="EY348" s="191"/>
      <c r="EZ348" s="191"/>
      <c r="FA348" s="191"/>
      <c r="FB348" s="191"/>
      <c r="FC348" s="191"/>
      <c r="FD348" s="191"/>
      <c r="FE348" s="191"/>
      <c r="FF348" s="191"/>
      <c r="FG348" s="191"/>
      <c r="FH348" s="191"/>
      <c r="FI348" s="191"/>
      <c r="FJ348" s="191"/>
      <c r="FK348" s="191"/>
      <c r="FL348" s="191"/>
      <c r="FM348" s="191"/>
      <c r="FN348" s="191"/>
      <c r="FO348" s="191"/>
      <c r="FP348" s="191"/>
      <c r="FQ348" s="191"/>
      <c r="FR348" s="191"/>
      <c r="FS348" s="191"/>
      <c r="FT348" s="191"/>
      <c r="FU348" s="191"/>
      <c r="FV348" s="191"/>
      <c r="FW348" s="191"/>
      <c r="FX348" s="191"/>
      <c r="FY348" s="191"/>
      <c r="FZ348" s="191"/>
      <c r="GA348" s="191"/>
      <c r="GB348" s="191"/>
      <c r="GC348" s="191"/>
      <c r="GD348" s="191"/>
      <c r="GE348" s="191"/>
      <c r="GF348" s="191"/>
      <c r="GG348" s="191"/>
      <c r="GH348" s="191"/>
      <c r="GI348" s="191"/>
      <c r="GJ348" s="191"/>
      <c r="GK348" s="191"/>
      <c r="GL348" s="191"/>
      <c r="GM348" s="191"/>
      <c r="GN348" s="191"/>
      <c r="GO348" s="191"/>
      <c r="GP348" s="191"/>
      <c r="GQ348" s="191"/>
      <c r="GR348" s="191"/>
      <c r="GS348" s="191"/>
      <c r="GT348" s="191"/>
      <c r="GU348" s="191"/>
      <c r="GV348" s="191"/>
      <c r="GW348" s="191"/>
      <c r="GX348" s="191"/>
      <c r="GY348" s="191"/>
      <c r="GZ348" s="191"/>
      <c r="HA348" s="191"/>
      <c r="HB348" s="191"/>
      <c r="HC348" s="191"/>
      <c r="HD348" s="191"/>
      <c r="HE348" s="191"/>
      <c r="HF348" s="191"/>
      <c r="HG348" s="191"/>
      <c r="HH348" s="191"/>
      <c r="HI348" s="191"/>
      <c r="HJ348" s="191"/>
      <c r="HK348" s="191"/>
      <c r="HL348" s="191"/>
      <c r="HM348" s="191"/>
      <c r="HN348" s="191"/>
      <c r="HO348" s="191"/>
      <c r="HP348" s="191"/>
      <c r="HQ348" s="191"/>
      <c r="HR348" s="191"/>
      <c r="HS348" s="191"/>
      <c r="HT348" s="191"/>
      <c r="HU348" s="191"/>
      <c r="HV348" s="191"/>
      <c r="HW348" s="191"/>
      <c r="HX348" s="191"/>
      <c r="HY348" s="191"/>
      <c r="HZ348" s="191"/>
      <c r="IA348" s="191"/>
      <c r="IB348" s="191"/>
      <c r="IC348" s="191"/>
      <c r="ID348" s="191"/>
      <c r="IE348" s="191"/>
      <c r="IF348" s="191"/>
      <c r="IG348" s="191"/>
      <c r="IH348" s="191"/>
      <c r="II348" s="191"/>
      <c r="IJ348" s="191"/>
      <c r="IK348" s="191"/>
      <c r="IL348" s="191"/>
      <c r="IM348" s="191"/>
      <c r="IN348" s="191"/>
      <c r="IO348" s="191"/>
      <c r="IP348" s="191"/>
      <c r="IQ348" s="191"/>
      <c r="IR348" s="191"/>
      <c r="IS348" s="191"/>
      <c r="IT348" s="191"/>
      <c r="IU348" s="191"/>
      <c r="IV348" s="191"/>
    </row>
    <row r="349" spans="1:34" ht="3.75" customHeight="1">
      <c r="A349" s="210"/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191"/>
      <c r="U349" s="191"/>
      <c r="V349" s="191"/>
      <c r="W349" s="191"/>
      <c r="X349" s="445"/>
      <c r="AH349" s="367"/>
    </row>
    <row r="350" spans="1:34" ht="12.75">
      <c r="A350" s="263" t="s">
        <v>267</v>
      </c>
      <c r="B350" s="298" t="s">
        <v>219</v>
      </c>
      <c r="X350" s="445"/>
      <c r="AH350" s="367"/>
    </row>
    <row r="351" spans="24:34" ht="3" customHeight="1">
      <c r="X351" s="445"/>
      <c r="AH351" s="367"/>
    </row>
    <row r="352" spans="1:34" ht="14.25" customHeight="1">
      <c r="A352" s="958" t="s">
        <v>203</v>
      </c>
      <c r="B352" s="1087" t="s">
        <v>220</v>
      </c>
      <c r="C352" s="1088"/>
      <c r="D352" s="1088"/>
      <c r="E352" s="1088"/>
      <c r="F352" s="1088"/>
      <c r="G352" s="1088"/>
      <c r="H352" s="1088"/>
      <c r="I352" s="1088"/>
      <c r="J352" s="1089"/>
      <c r="K352" s="801" t="s">
        <v>205</v>
      </c>
      <c r="L352" s="802"/>
      <c r="M352" s="802"/>
      <c r="N352" s="802"/>
      <c r="O352" s="802"/>
      <c r="P352" s="802"/>
      <c r="Q352" s="802"/>
      <c r="R352" s="802"/>
      <c r="S352" s="802"/>
      <c r="T352" s="802"/>
      <c r="U352" s="802"/>
      <c r="V352" s="802"/>
      <c r="W352" s="803"/>
      <c r="X352" s="445"/>
      <c r="AH352" s="367"/>
    </row>
    <row r="353" spans="1:34" ht="14.25" customHeight="1">
      <c r="A353" s="958"/>
      <c r="B353" s="1090"/>
      <c r="C353" s="1091"/>
      <c r="D353" s="1091"/>
      <c r="E353" s="1091"/>
      <c r="F353" s="1091"/>
      <c r="G353" s="1091"/>
      <c r="H353" s="1091"/>
      <c r="I353" s="1091"/>
      <c r="J353" s="1092"/>
      <c r="K353" s="804" t="s">
        <v>206</v>
      </c>
      <c r="L353" s="805"/>
      <c r="M353" s="805"/>
      <c r="N353" s="805"/>
      <c r="O353" s="805"/>
      <c r="P353" s="805"/>
      <c r="Q353" s="805"/>
      <c r="R353" s="805"/>
      <c r="S353" s="805"/>
      <c r="T353" s="805"/>
      <c r="U353" s="805"/>
      <c r="V353" s="805"/>
      <c r="W353" s="806"/>
      <c r="X353" s="445"/>
      <c r="AH353" s="367"/>
    </row>
    <row r="354" spans="1:34" ht="14.25" customHeight="1">
      <c r="A354" s="958"/>
      <c r="B354" s="1090"/>
      <c r="C354" s="1091"/>
      <c r="D354" s="1091"/>
      <c r="E354" s="1091"/>
      <c r="F354" s="1091"/>
      <c r="G354" s="1091"/>
      <c r="H354" s="1091"/>
      <c r="I354" s="1091"/>
      <c r="J354" s="1092"/>
      <c r="K354" s="994">
        <v>0</v>
      </c>
      <c r="L354" s="994"/>
      <c r="M354" s="994"/>
      <c r="N354" s="994"/>
      <c r="O354" s="994"/>
      <c r="P354" s="807">
        <v>10</v>
      </c>
      <c r="Q354" s="808"/>
      <c r="R354" s="808"/>
      <c r="S354" s="809"/>
      <c r="T354" s="807">
        <v>20</v>
      </c>
      <c r="U354" s="808"/>
      <c r="V354" s="808"/>
      <c r="W354" s="809"/>
      <c r="X354" s="445"/>
      <c r="AH354" s="367"/>
    </row>
    <row r="355" spans="1:34" ht="14.25" customHeight="1">
      <c r="A355" s="958"/>
      <c r="B355" s="1090"/>
      <c r="C355" s="1091"/>
      <c r="D355" s="1091"/>
      <c r="E355" s="1091"/>
      <c r="F355" s="1091"/>
      <c r="G355" s="1091"/>
      <c r="H355" s="1091"/>
      <c r="I355" s="1091"/>
      <c r="J355" s="1092"/>
      <c r="K355" s="995" t="s">
        <v>287</v>
      </c>
      <c r="L355" s="995"/>
      <c r="M355" s="995"/>
      <c r="N355" s="995"/>
      <c r="O355" s="995"/>
      <c r="P355" s="825" t="s">
        <v>288</v>
      </c>
      <c r="Q355" s="826"/>
      <c r="R355" s="826"/>
      <c r="S355" s="827"/>
      <c r="T355" s="825" t="s">
        <v>221</v>
      </c>
      <c r="U355" s="826"/>
      <c r="V355" s="826"/>
      <c r="W355" s="827"/>
      <c r="X355" s="445"/>
      <c r="AH355" s="367"/>
    </row>
    <row r="356" spans="1:34" ht="14.25" customHeight="1">
      <c r="A356" s="958"/>
      <c r="B356" s="1090"/>
      <c r="C356" s="1091"/>
      <c r="D356" s="1091"/>
      <c r="E356" s="1091"/>
      <c r="F356" s="1091"/>
      <c r="G356" s="1091"/>
      <c r="H356" s="1091"/>
      <c r="I356" s="1091"/>
      <c r="J356" s="1092"/>
      <c r="K356" s="995"/>
      <c r="L356" s="995"/>
      <c r="M356" s="995"/>
      <c r="N356" s="995"/>
      <c r="O356" s="995"/>
      <c r="P356" s="828"/>
      <c r="Q356" s="829"/>
      <c r="R356" s="829"/>
      <c r="S356" s="830"/>
      <c r="T356" s="828"/>
      <c r="U356" s="829"/>
      <c r="V356" s="829"/>
      <c r="W356" s="830"/>
      <c r="X356" s="445"/>
      <c r="AH356" s="367"/>
    </row>
    <row r="357" spans="1:34" ht="14.25" customHeight="1">
      <c r="A357" s="958"/>
      <c r="B357" s="1090"/>
      <c r="C357" s="1091"/>
      <c r="D357" s="1091"/>
      <c r="E357" s="1091"/>
      <c r="F357" s="1091"/>
      <c r="G357" s="1091"/>
      <c r="H357" s="1091"/>
      <c r="I357" s="1091"/>
      <c r="J357" s="1092"/>
      <c r="K357" s="995"/>
      <c r="L357" s="995"/>
      <c r="M357" s="995"/>
      <c r="N357" s="995"/>
      <c r="O357" s="995"/>
      <c r="P357" s="828"/>
      <c r="Q357" s="829"/>
      <c r="R357" s="829"/>
      <c r="S357" s="830"/>
      <c r="T357" s="828"/>
      <c r="U357" s="829"/>
      <c r="V357" s="829"/>
      <c r="W357" s="830"/>
      <c r="X357" s="445"/>
      <c r="AE357" s="5" t="s">
        <v>404</v>
      </c>
      <c r="AH357" s="367"/>
    </row>
    <row r="358" spans="1:34" ht="10.5" customHeight="1">
      <c r="A358" s="958"/>
      <c r="B358" s="1093"/>
      <c r="C358" s="1094"/>
      <c r="D358" s="1094"/>
      <c r="E358" s="1094"/>
      <c r="F358" s="1094"/>
      <c r="G358" s="1094"/>
      <c r="H358" s="1094"/>
      <c r="I358" s="1094"/>
      <c r="J358" s="1095"/>
      <c r="K358" s="995"/>
      <c r="L358" s="995"/>
      <c r="M358" s="995"/>
      <c r="N358" s="995"/>
      <c r="O358" s="995"/>
      <c r="P358" s="831"/>
      <c r="Q358" s="832"/>
      <c r="R358" s="832"/>
      <c r="S358" s="833"/>
      <c r="T358" s="828"/>
      <c r="U358" s="829"/>
      <c r="V358" s="829"/>
      <c r="W358" s="830"/>
      <c r="X358" s="445"/>
      <c r="Z358" s="251" t="s">
        <v>208</v>
      </c>
      <c r="AA358" s="252" t="s">
        <v>278</v>
      </c>
      <c r="AE358" s="285" t="s">
        <v>3</v>
      </c>
      <c r="AF358" s="286" t="s">
        <v>2</v>
      </c>
      <c r="AH358" s="367"/>
    </row>
    <row r="359" spans="1:34" ht="12.75" customHeight="1">
      <c r="A359" s="942" t="s">
        <v>188</v>
      </c>
      <c r="B359" s="785" t="s">
        <v>724</v>
      </c>
      <c r="C359" s="786"/>
      <c r="D359" s="786"/>
      <c r="E359" s="786"/>
      <c r="F359" s="786"/>
      <c r="G359" s="786"/>
      <c r="H359" s="786"/>
      <c r="I359" s="786"/>
      <c r="J359" s="787"/>
      <c r="K359" s="913">
        <f>IF(Y359=0,IF(FIO="","",0),"")</f>
      </c>
      <c r="L359" s="834"/>
      <c r="M359" s="834"/>
      <c r="N359" s="834"/>
      <c r="O359" s="835"/>
      <c r="P359" s="937"/>
      <c r="Q359" s="877"/>
      <c r="R359" s="877"/>
      <c r="S359" s="878"/>
      <c r="T359" s="937"/>
      <c r="U359" s="877"/>
      <c r="V359" s="877"/>
      <c r="W359" s="878"/>
      <c r="X359" s="445"/>
      <c r="Y359" s="996">
        <f>MAX(P359:W362)</f>
        <v>0</v>
      </c>
      <c r="Z359" s="253">
        <v>80</v>
      </c>
      <c r="AA359" s="270">
        <f>IF(z_kateg="высшая",AE359,AF359)</f>
        <v>50</v>
      </c>
      <c r="AE359" s="283">
        <v>60</v>
      </c>
      <c r="AF359" s="284">
        <v>50</v>
      </c>
      <c r="AH359" s="367"/>
    </row>
    <row r="360" spans="1:34" ht="14.25" customHeight="1" hidden="1">
      <c r="A360" s="943"/>
      <c r="B360" s="788"/>
      <c r="C360" s="789"/>
      <c r="D360" s="789"/>
      <c r="E360" s="789"/>
      <c r="F360" s="789"/>
      <c r="G360" s="789"/>
      <c r="H360" s="789"/>
      <c r="I360" s="789"/>
      <c r="J360" s="790"/>
      <c r="K360" s="945"/>
      <c r="L360" s="946"/>
      <c r="M360" s="946"/>
      <c r="N360" s="946"/>
      <c r="O360" s="947"/>
      <c r="P360" s="938"/>
      <c r="Q360" s="939"/>
      <c r="R360" s="939"/>
      <c r="S360" s="940"/>
      <c r="T360" s="938"/>
      <c r="U360" s="939"/>
      <c r="V360" s="939"/>
      <c r="W360" s="940"/>
      <c r="X360" s="445"/>
      <c r="Y360" s="996"/>
      <c r="AH360" s="367"/>
    </row>
    <row r="361" spans="1:34" ht="14.25" customHeight="1" hidden="1">
      <c r="A361" s="943"/>
      <c r="B361" s="788"/>
      <c r="C361" s="789"/>
      <c r="D361" s="789"/>
      <c r="E361" s="789"/>
      <c r="F361" s="789"/>
      <c r="G361" s="789"/>
      <c r="H361" s="789"/>
      <c r="I361" s="789"/>
      <c r="J361" s="790"/>
      <c r="K361" s="945"/>
      <c r="L361" s="946"/>
      <c r="M361" s="946"/>
      <c r="N361" s="946"/>
      <c r="O361" s="947"/>
      <c r="P361" s="938"/>
      <c r="Q361" s="939"/>
      <c r="R361" s="939"/>
      <c r="S361" s="940"/>
      <c r="T361" s="938"/>
      <c r="U361" s="939"/>
      <c r="V361" s="939"/>
      <c r="W361" s="940"/>
      <c r="X361" s="445"/>
      <c r="Y361" s="996"/>
      <c r="AH361" s="367"/>
    </row>
    <row r="362" spans="1:34" ht="12.75">
      <c r="A362" s="944"/>
      <c r="B362" s="791"/>
      <c r="C362" s="792"/>
      <c r="D362" s="792"/>
      <c r="E362" s="792"/>
      <c r="F362" s="792"/>
      <c r="G362" s="792"/>
      <c r="H362" s="792"/>
      <c r="I362" s="792"/>
      <c r="J362" s="793"/>
      <c r="K362" s="948"/>
      <c r="L362" s="836"/>
      <c r="M362" s="836"/>
      <c r="N362" s="836"/>
      <c r="O362" s="837"/>
      <c r="P362" s="941"/>
      <c r="Q362" s="879"/>
      <c r="R362" s="879"/>
      <c r="S362" s="880"/>
      <c r="T362" s="941"/>
      <c r="U362" s="879"/>
      <c r="V362" s="879"/>
      <c r="W362" s="880"/>
      <c r="X362" s="445"/>
      <c r="Y362" s="996"/>
      <c r="AH362" s="367"/>
    </row>
    <row r="363" spans="1:34" ht="12.75" customHeight="1">
      <c r="A363" s="942" t="s">
        <v>190</v>
      </c>
      <c r="B363" s="785" t="s">
        <v>722</v>
      </c>
      <c r="C363" s="786"/>
      <c r="D363" s="786"/>
      <c r="E363" s="786"/>
      <c r="F363" s="786"/>
      <c r="G363" s="786"/>
      <c r="H363" s="786"/>
      <c r="I363" s="786"/>
      <c r="J363" s="787"/>
      <c r="K363" s="913">
        <f>IF(Y363=0,IF(FIO="","",0),"")</f>
      </c>
      <c r="L363" s="834"/>
      <c r="M363" s="834"/>
      <c r="N363" s="834"/>
      <c r="O363" s="835"/>
      <c r="P363" s="937"/>
      <c r="Q363" s="877"/>
      <c r="R363" s="877"/>
      <c r="S363" s="878"/>
      <c r="T363" s="937"/>
      <c r="U363" s="877"/>
      <c r="V363" s="877"/>
      <c r="W363" s="878"/>
      <c r="X363" s="445"/>
      <c r="Y363" s="996">
        <f>MAX(P363:W366)</f>
        <v>0</v>
      </c>
      <c r="AB363" s="5" t="s">
        <v>286</v>
      </c>
      <c r="AH363" s="367"/>
    </row>
    <row r="364" spans="1:34" ht="3" customHeight="1" hidden="1">
      <c r="A364" s="943"/>
      <c r="B364" s="788"/>
      <c r="C364" s="789"/>
      <c r="D364" s="789"/>
      <c r="E364" s="789"/>
      <c r="F364" s="789"/>
      <c r="G364" s="789"/>
      <c r="H364" s="789"/>
      <c r="I364" s="789"/>
      <c r="J364" s="790"/>
      <c r="K364" s="945"/>
      <c r="L364" s="946"/>
      <c r="M364" s="946"/>
      <c r="N364" s="946"/>
      <c r="O364" s="947"/>
      <c r="P364" s="938"/>
      <c r="Q364" s="939"/>
      <c r="R364" s="939"/>
      <c r="S364" s="940"/>
      <c r="T364" s="938"/>
      <c r="U364" s="939"/>
      <c r="V364" s="939"/>
      <c r="W364" s="940"/>
      <c r="X364" s="445"/>
      <c r="Y364" s="996"/>
      <c r="AH364" s="367"/>
    </row>
    <row r="365" spans="1:34" ht="14.25" customHeight="1" hidden="1">
      <c r="A365" s="943"/>
      <c r="B365" s="788"/>
      <c r="C365" s="789"/>
      <c r="D365" s="789"/>
      <c r="E365" s="789"/>
      <c r="F365" s="789"/>
      <c r="G365" s="789"/>
      <c r="H365" s="789"/>
      <c r="I365" s="789"/>
      <c r="J365" s="790"/>
      <c r="K365" s="945"/>
      <c r="L365" s="946"/>
      <c r="M365" s="946"/>
      <c r="N365" s="946"/>
      <c r="O365" s="947"/>
      <c r="P365" s="938"/>
      <c r="Q365" s="939"/>
      <c r="R365" s="939"/>
      <c r="S365" s="940"/>
      <c r="T365" s="938"/>
      <c r="U365" s="939"/>
      <c r="V365" s="939"/>
      <c r="W365" s="940"/>
      <c r="X365" s="445"/>
      <c r="Y365" s="996"/>
      <c r="AH365" s="367"/>
    </row>
    <row r="366" spans="1:34" ht="12.75">
      <c r="A366" s="944"/>
      <c r="B366" s="791"/>
      <c r="C366" s="792"/>
      <c r="D366" s="792"/>
      <c r="E366" s="792"/>
      <c r="F366" s="792"/>
      <c r="G366" s="792"/>
      <c r="H366" s="792"/>
      <c r="I366" s="792"/>
      <c r="J366" s="793"/>
      <c r="K366" s="948"/>
      <c r="L366" s="836"/>
      <c r="M366" s="836"/>
      <c r="N366" s="836"/>
      <c r="O366" s="837"/>
      <c r="P366" s="941"/>
      <c r="Q366" s="879"/>
      <c r="R366" s="879"/>
      <c r="S366" s="880"/>
      <c r="T366" s="941"/>
      <c r="U366" s="879"/>
      <c r="V366" s="879"/>
      <c r="W366" s="880"/>
      <c r="X366" s="445"/>
      <c r="Y366" s="996"/>
      <c r="AH366" s="367"/>
    </row>
    <row r="367" spans="1:34" ht="12.75">
      <c r="A367" s="942" t="s">
        <v>191</v>
      </c>
      <c r="B367" s="785" t="s">
        <v>723</v>
      </c>
      <c r="C367" s="786"/>
      <c r="D367" s="786"/>
      <c r="E367" s="786"/>
      <c r="F367" s="786"/>
      <c r="G367" s="786"/>
      <c r="H367" s="786"/>
      <c r="I367" s="786"/>
      <c r="J367" s="787"/>
      <c r="K367" s="913">
        <f>IF(Y367=0,IF(FIO="","",0),"")</f>
      </c>
      <c r="L367" s="834"/>
      <c r="M367" s="834"/>
      <c r="N367" s="834"/>
      <c r="O367" s="835"/>
      <c r="P367" s="937"/>
      <c r="Q367" s="877"/>
      <c r="R367" s="877"/>
      <c r="S367" s="878"/>
      <c r="T367" s="937"/>
      <c r="U367" s="877"/>
      <c r="V367" s="877"/>
      <c r="W367" s="878"/>
      <c r="X367" s="445"/>
      <c r="Y367" s="996">
        <f>MAX(P367:W370)</f>
        <v>0</v>
      </c>
      <c r="AH367" s="367"/>
    </row>
    <row r="368" spans="1:34" ht="12.75" hidden="1">
      <c r="A368" s="943"/>
      <c r="B368" s="788"/>
      <c r="C368" s="789"/>
      <c r="D368" s="789"/>
      <c r="E368" s="789"/>
      <c r="F368" s="789"/>
      <c r="G368" s="789"/>
      <c r="H368" s="789"/>
      <c r="I368" s="789"/>
      <c r="J368" s="790"/>
      <c r="K368" s="945"/>
      <c r="L368" s="946"/>
      <c r="M368" s="946"/>
      <c r="N368" s="946"/>
      <c r="O368" s="947"/>
      <c r="P368" s="938"/>
      <c r="Q368" s="939"/>
      <c r="R368" s="939"/>
      <c r="S368" s="940"/>
      <c r="T368" s="938"/>
      <c r="U368" s="939"/>
      <c r="V368" s="939"/>
      <c r="W368" s="940"/>
      <c r="X368" s="445"/>
      <c r="Y368" s="996"/>
      <c r="AH368" s="367"/>
    </row>
    <row r="369" spans="1:34" ht="12.75" hidden="1">
      <c r="A369" s="943"/>
      <c r="B369" s="788"/>
      <c r="C369" s="789"/>
      <c r="D369" s="789"/>
      <c r="E369" s="789"/>
      <c r="F369" s="789"/>
      <c r="G369" s="789"/>
      <c r="H369" s="789"/>
      <c r="I369" s="789"/>
      <c r="J369" s="790"/>
      <c r="K369" s="945"/>
      <c r="L369" s="946"/>
      <c r="M369" s="946"/>
      <c r="N369" s="946"/>
      <c r="O369" s="947"/>
      <c r="P369" s="938"/>
      <c r="Q369" s="939"/>
      <c r="R369" s="939"/>
      <c r="S369" s="940"/>
      <c r="T369" s="938"/>
      <c r="U369" s="939"/>
      <c r="V369" s="939"/>
      <c r="W369" s="940"/>
      <c r="X369" s="445"/>
      <c r="Y369" s="996"/>
      <c r="AH369" s="367"/>
    </row>
    <row r="370" spans="1:34" ht="12.75">
      <c r="A370" s="944"/>
      <c r="B370" s="791"/>
      <c r="C370" s="792"/>
      <c r="D370" s="792"/>
      <c r="E370" s="792"/>
      <c r="F370" s="792"/>
      <c r="G370" s="792"/>
      <c r="H370" s="792"/>
      <c r="I370" s="792"/>
      <c r="J370" s="793"/>
      <c r="K370" s="948"/>
      <c r="L370" s="836"/>
      <c r="M370" s="836"/>
      <c r="N370" s="836"/>
      <c r="O370" s="837"/>
      <c r="P370" s="941"/>
      <c r="Q370" s="879"/>
      <c r="R370" s="879"/>
      <c r="S370" s="880"/>
      <c r="T370" s="941"/>
      <c r="U370" s="879"/>
      <c r="V370" s="879"/>
      <c r="W370" s="880"/>
      <c r="X370" s="445"/>
      <c r="Y370" s="996"/>
      <c r="AH370" s="367"/>
    </row>
    <row r="371" spans="1:34" ht="6.75" customHeight="1">
      <c r="A371" s="274"/>
      <c r="B371" s="226"/>
      <c r="C371" s="226"/>
      <c r="D371" s="226"/>
      <c r="E371" s="226"/>
      <c r="F371" s="12"/>
      <c r="G371" s="12"/>
      <c r="H371" s="12"/>
      <c r="I371" s="12"/>
      <c r="J371" s="12"/>
      <c r="K371" s="12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445"/>
      <c r="AH371" s="367"/>
    </row>
    <row r="372" spans="1:34" ht="12.75">
      <c r="A372" s="263" t="s">
        <v>222</v>
      </c>
      <c r="B372" s="298" t="s">
        <v>223</v>
      </c>
      <c r="X372" s="445"/>
      <c r="AH372" s="367"/>
    </row>
    <row r="373" spans="1:34" ht="12.75">
      <c r="A373" s="290" t="s">
        <v>224</v>
      </c>
      <c r="X373" s="445"/>
      <c r="AH373" s="367"/>
    </row>
    <row r="374" spans="1:34" ht="14.25">
      <c r="A374" s="958" t="s">
        <v>203</v>
      </c>
      <c r="B374" s="1075" t="s">
        <v>725</v>
      </c>
      <c r="C374" s="1076"/>
      <c r="D374" s="1076"/>
      <c r="E374" s="1076"/>
      <c r="F374" s="1076"/>
      <c r="G374" s="1076"/>
      <c r="H374" s="1076"/>
      <c r="I374" s="1076"/>
      <c r="J374" s="1077"/>
      <c r="K374" s="801" t="s">
        <v>215</v>
      </c>
      <c r="L374" s="802"/>
      <c r="M374" s="802"/>
      <c r="N374" s="802"/>
      <c r="O374" s="802"/>
      <c r="P374" s="802"/>
      <c r="Q374" s="802"/>
      <c r="R374" s="802"/>
      <c r="S374" s="802"/>
      <c r="T374" s="802"/>
      <c r="U374" s="802"/>
      <c r="V374" s="802"/>
      <c r="W374" s="803"/>
      <c r="X374" s="445"/>
      <c r="AH374" s="367"/>
    </row>
    <row r="375" spans="1:34" ht="12.75">
      <c r="A375" s="958"/>
      <c r="B375" s="1078"/>
      <c r="C375" s="1079"/>
      <c r="D375" s="1079"/>
      <c r="E375" s="1079"/>
      <c r="F375" s="1079"/>
      <c r="G375" s="1079"/>
      <c r="H375" s="1079"/>
      <c r="I375" s="1079"/>
      <c r="J375" s="1080"/>
      <c r="K375" s="804" t="s">
        <v>206</v>
      </c>
      <c r="L375" s="805"/>
      <c r="M375" s="805"/>
      <c r="N375" s="805"/>
      <c r="O375" s="805"/>
      <c r="P375" s="805"/>
      <c r="Q375" s="805"/>
      <c r="R375" s="805"/>
      <c r="S375" s="805"/>
      <c r="T375" s="805"/>
      <c r="U375" s="805"/>
      <c r="V375" s="805"/>
      <c r="W375" s="806"/>
      <c r="X375" s="445"/>
      <c r="AH375" s="367"/>
    </row>
    <row r="376" spans="1:34" ht="12.75">
      <c r="A376" s="958"/>
      <c r="B376" s="1078"/>
      <c r="C376" s="1079"/>
      <c r="D376" s="1079"/>
      <c r="E376" s="1079"/>
      <c r="F376" s="1079"/>
      <c r="G376" s="1079"/>
      <c r="H376" s="1079"/>
      <c r="I376" s="1079"/>
      <c r="J376" s="1080"/>
      <c r="K376" s="848">
        <v>0</v>
      </c>
      <c r="L376" s="848"/>
      <c r="M376" s="848"/>
      <c r="N376" s="848"/>
      <c r="O376" s="848"/>
      <c r="P376" s="807">
        <v>10</v>
      </c>
      <c r="Q376" s="808"/>
      <c r="R376" s="808"/>
      <c r="S376" s="809"/>
      <c r="T376" s="807">
        <v>20</v>
      </c>
      <c r="U376" s="808"/>
      <c r="V376" s="808"/>
      <c r="W376" s="809"/>
      <c r="X376" s="445"/>
      <c r="AH376" s="367"/>
    </row>
    <row r="377" spans="1:34" ht="12.75">
      <c r="A377" s="958"/>
      <c r="B377" s="1078"/>
      <c r="C377" s="1079"/>
      <c r="D377" s="1079"/>
      <c r="E377" s="1079"/>
      <c r="F377" s="1079"/>
      <c r="G377" s="1079"/>
      <c r="H377" s="1079"/>
      <c r="I377" s="1079"/>
      <c r="J377" s="1080"/>
      <c r="K377" s="995" t="s">
        <v>458</v>
      </c>
      <c r="L377" s="995"/>
      <c r="M377" s="995"/>
      <c r="N377" s="995"/>
      <c r="O377" s="995"/>
      <c r="P377" s="825" t="s">
        <v>288</v>
      </c>
      <c r="Q377" s="826"/>
      <c r="R377" s="826"/>
      <c r="S377" s="827"/>
      <c r="T377" s="825" t="s">
        <v>221</v>
      </c>
      <c r="U377" s="826"/>
      <c r="V377" s="826"/>
      <c r="W377" s="827"/>
      <c r="X377" s="445"/>
      <c r="AH377" s="367"/>
    </row>
    <row r="378" spans="1:34" ht="14.25" customHeight="1">
      <c r="A378" s="958"/>
      <c r="B378" s="1081" t="s">
        <v>459</v>
      </c>
      <c r="C378" s="1082"/>
      <c r="D378" s="1082"/>
      <c r="E378" s="1082"/>
      <c r="F378" s="1082"/>
      <c r="G378" s="1082"/>
      <c r="H378" s="1082"/>
      <c r="I378" s="1082"/>
      <c r="J378" s="1083"/>
      <c r="K378" s="995"/>
      <c r="L378" s="995"/>
      <c r="M378" s="995"/>
      <c r="N378" s="995"/>
      <c r="O378" s="995"/>
      <c r="P378" s="828"/>
      <c r="Q378" s="829"/>
      <c r="R378" s="829"/>
      <c r="S378" s="830"/>
      <c r="T378" s="828"/>
      <c r="U378" s="829"/>
      <c r="V378" s="829"/>
      <c r="W378" s="830"/>
      <c r="X378" s="445"/>
      <c r="AH378" s="367"/>
    </row>
    <row r="379" spans="1:34" ht="12.75">
      <c r="A379" s="958"/>
      <c r="B379" s="1081"/>
      <c r="C379" s="1082"/>
      <c r="D379" s="1082"/>
      <c r="E379" s="1082"/>
      <c r="F379" s="1082"/>
      <c r="G379" s="1082"/>
      <c r="H379" s="1082"/>
      <c r="I379" s="1082"/>
      <c r="J379" s="1083"/>
      <c r="K379" s="995"/>
      <c r="L379" s="995"/>
      <c r="M379" s="995"/>
      <c r="N379" s="995"/>
      <c r="O379" s="995"/>
      <c r="P379" s="828"/>
      <c r="Q379" s="829"/>
      <c r="R379" s="829"/>
      <c r="S379" s="830"/>
      <c r="T379" s="828"/>
      <c r="U379" s="829"/>
      <c r="V379" s="829"/>
      <c r="W379" s="830"/>
      <c r="X379" s="445"/>
      <c r="AH379" s="367"/>
    </row>
    <row r="380" spans="1:34" ht="3" customHeight="1">
      <c r="A380" s="958"/>
      <c r="B380" s="1084"/>
      <c r="C380" s="1085"/>
      <c r="D380" s="1085"/>
      <c r="E380" s="1085"/>
      <c r="F380" s="1085"/>
      <c r="G380" s="1085"/>
      <c r="H380" s="1085"/>
      <c r="I380" s="1085"/>
      <c r="J380" s="1086"/>
      <c r="K380" s="997"/>
      <c r="L380" s="997"/>
      <c r="M380" s="997"/>
      <c r="N380" s="997"/>
      <c r="O380" s="997"/>
      <c r="P380" s="831"/>
      <c r="Q380" s="832"/>
      <c r="R380" s="832"/>
      <c r="S380" s="833"/>
      <c r="T380" s="828"/>
      <c r="U380" s="829"/>
      <c r="V380" s="829"/>
      <c r="W380" s="830"/>
      <c r="X380" s="445"/>
      <c r="AH380" s="367"/>
    </row>
    <row r="381" spans="1:34" ht="14.25" customHeight="1">
      <c r="A381" s="959" t="s">
        <v>188</v>
      </c>
      <c r="B381" s="928"/>
      <c r="C381" s="929"/>
      <c r="D381" s="929"/>
      <c r="E381" s="929"/>
      <c r="F381" s="929"/>
      <c r="G381" s="929"/>
      <c r="H381" s="929"/>
      <c r="I381" s="929"/>
      <c r="J381" s="930"/>
      <c r="K381" s="834">
        <f>IF(AND(FIO&lt;&gt;"",P381="",T381=""),0,IF(z_kateg="первая","Не заполнять  на первую кв.кат.!",""))</f>
      </c>
      <c r="L381" s="834"/>
      <c r="M381" s="834"/>
      <c r="N381" s="834"/>
      <c r="O381" s="835"/>
      <c r="P381" s="839"/>
      <c r="Q381" s="839"/>
      <c r="R381" s="839"/>
      <c r="S381" s="839"/>
      <c r="T381" s="937"/>
      <c r="U381" s="877"/>
      <c r="V381" s="877"/>
      <c r="W381" s="878"/>
      <c r="X381" s="445"/>
      <c r="Y381" s="996">
        <f>IF(z_kateg="первая",0,MAX(K381:W384))</f>
        <v>0</v>
      </c>
      <c r="Z381" s="251" t="s">
        <v>208</v>
      </c>
      <c r="AA381" s="252" t="s">
        <v>278</v>
      </c>
      <c r="AE381" s="285" t="s">
        <v>3</v>
      </c>
      <c r="AF381" s="286" t="s">
        <v>2</v>
      </c>
      <c r="AH381" s="367"/>
    </row>
    <row r="382" spans="1:34" ht="14.25" customHeight="1">
      <c r="A382" s="960"/>
      <c r="B382" s="931"/>
      <c r="C382" s="932"/>
      <c r="D382" s="932"/>
      <c r="E382" s="932"/>
      <c r="F382" s="932"/>
      <c r="G382" s="932"/>
      <c r="H382" s="932"/>
      <c r="I382" s="932"/>
      <c r="J382" s="933"/>
      <c r="K382" s="946"/>
      <c r="L382" s="946"/>
      <c r="M382" s="946"/>
      <c r="N382" s="946"/>
      <c r="O382" s="947"/>
      <c r="P382" s="839"/>
      <c r="Q382" s="839"/>
      <c r="R382" s="839"/>
      <c r="S382" s="839"/>
      <c r="T382" s="938"/>
      <c r="U382" s="939"/>
      <c r="V382" s="939"/>
      <c r="W382" s="940"/>
      <c r="X382" s="445"/>
      <c r="Y382" s="996"/>
      <c r="Z382" s="253">
        <v>40</v>
      </c>
      <c r="AA382" s="270">
        <f>IF(z_kateg="высшая",AE382,AF382)</f>
        <v>0</v>
      </c>
      <c r="AE382" s="283">
        <v>40</v>
      </c>
      <c r="AF382" s="284">
        <v>0</v>
      </c>
      <c r="AH382" s="367"/>
    </row>
    <row r="383" spans="1:34" ht="14.25" customHeight="1">
      <c r="A383" s="960"/>
      <c r="B383" s="931"/>
      <c r="C383" s="932"/>
      <c r="D383" s="932"/>
      <c r="E383" s="932"/>
      <c r="F383" s="932"/>
      <c r="G383" s="932"/>
      <c r="H383" s="932"/>
      <c r="I383" s="932"/>
      <c r="J383" s="933"/>
      <c r="K383" s="946"/>
      <c r="L383" s="946"/>
      <c r="M383" s="946"/>
      <c r="N383" s="946"/>
      <c r="O383" s="947"/>
      <c r="P383" s="839"/>
      <c r="Q383" s="839"/>
      <c r="R383" s="839"/>
      <c r="S383" s="839"/>
      <c r="T383" s="938"/>
      <c r="U383" s="939"/>
      <c r="V383" s="939"/>
      <c r="W383" s="940"/>
      <c r="X383" s="445"/>
      <c r="Y383" s="996"/>
      <c r="AH383" s="367"/>
    </row>
    <row r="384" spans="1:34" ht="10.5" customHeight="1">
      <c r="A384" s="961"/>
      <c r="B384" s="934"/>
      <c r="C384" s="935"/>
      <c r="D384" s="935"/>
      <c r="E384" s="935"/>
      <c r="F384" s="935"/>
      <c r="G384" s="935"/>
      <c r="H384" s="935"/>
      <c r="I384" s="935"/>
      <c r="J384" s="936"/>
      <c r="K384" s="836"/>
      <c r="L384" s="836"/>
      <c r="M384" s="836"/>
      <c r="N384" s="836"/>
      <c r="O384" s="837"/>
      <c r="P384" s="839"/>
      <c r="Q384" s="839"/>
      <c r="R384" s="839"/>
      <c r="S384" s="839"/>
      <c r="T384" s="941"/>
      <c r="U384" s="879"/>
      <c r="V384" s="879"/>
      <c r="W384" s="880"/>
      <c r="X384" s="445"/>
      <c r="Y384" s="996"/>
      <c r="AH384" s="367"/>
    </row>
    <row r="385" spans="1:34" ht="14.25" customHeight="1">
      <c r="A385" s="889" t="s">
        <v>190</v>
      </c>
      <c r="B385" s="928"/>
      <c r="C385" s="929"/>
      <c r="D385" s="929"/>
      <c r="E385" s="929"/>
      <c r="F385" s="929"/>
      <c r="G385" s="929"/>
      <c r="H385" s="929"/>
      <c r="I385" s="929"/>
      <c r="J385" s="930"/>
      <c r="K385" s="834">
        <f>IF(AND(FIO&lt;&gt;"",P385="",T385=""),0,IF(z_kateg="первая","Не заполнять  на первую кв.кат.!",""))</f>
      </c>
      <c r="L385" s="834"/>
      <c r="M385" s="834"/>
      <c r="N385" s="834"/>
      <c r="O385" s="835"/>
      <c r="P385" s="839"/>
      <c r="Q385" s="839"/>
      <c r="R385" s="839"/>
      <c r="S385" s="839"/>
      <c r="T385" s="937"/>
      <c r="U385" s="877"/>
      <c r="V385" s="877"/>
      <c r="W385" s="878"/>
      <c r="X385" s="445"/>
      <c r="Y385" s="996">
        <f>IF(z_kateg="первая",0,MAX(K385:W388))</f>
        <v>0</v>
      </c>
      <c r="AH385" s="367"/>
    </row>
    <row r="386" spans="1:34" ht="14.25" customHeight="1">
      <c r="A386" s="890"/>
      <c r="B386" s="931"/>
      <c r="C386" s="932"/>
      <c r="D386" s="932"/>
      <c r="E386" s="932"/>
      <c r="F386" s="932"/>
      <c r="G386" s="932"/>
      <c r="H386" s="932"/>
      <c r="I386" s="932"/>
      <c r="J386" s="933"/>
      <c r="K386" s="946"/>
      <c r="L386" s="946"/>
      <c r="M386" s="946"/>
      <c r="N386" s="946"/>
      <c r="O386" s="947"/>
      <c r="P386" s="839"/>
      <c r="Q386" s="839"/>
      <c r="R386" s="839"/>
      <c r="S386" s="839"/>
      <c r="T386" s="938"/>
      <c r="U386" s="939"/>
      <c r="V386" s="939"/>
      <c r="W386" s="940"/>
      <c r="X386" s="445"/>
      <c r="Y386" s="996"/>
      <c r="AH386" s="367"/>
    </row>
    <row r="387" spans="1:34" ht="14.25" customHeight="1">
      <c r="A387" s="890"/>
      <c r="B387" s="931"/>
      <c r="C387" s="932"/>
      <c r="D387" s="932"/>
      <c r="E387" s="932"/>
      <c r="F387" s="932"/>
      <c r="G387" s="932"/>
      <c r="H387" s="932"/>
      <c r="I387" s="932"/>
      <c r="J387" s="933"/>
      <c r="K387" s="946"/>
      <c r="L387" s="946"/>
      <c r="M387" s="946"/>
      <c r="N387" s="946"/>
      <c r="O387" s="947"/>
      <c r="P387" s="839"/>
      <c r="Q387" s="839"/>
      <c r="R387" s="839"/>
      <c r="S387" s="839"/>
      <c r="T387" s="938"/>
      <c r="U387" s="939"/>
      <c r="V387" s="939"/>
      <c r="W387" s="940"/>
      <c r="X387" s="445"/>
      <c r="Y387" s="996"/>
      <c r="AH387" s="367"/>
    </row>
    <row r="388" spans="1:34" ht="11.25" customHeight="1">
      <c r="A388" s="891"/>
      <c r="B388" s="934"/>
      <c r="C388" s="935"/>
      <c r="D388" s="935"/>
      <c r="E388" s="935"/>
      <c r="F388" s="935"/>
      <c r="G388" s="935"/>
      <c r="H388" s="935"/>
      <c r="I388" s="935"/>
      <c r="J388" s="936"/>
      <c r="K388" s="836"/>
      <c r="L388" s="836"/>
      <c r="M388" s="836"/>
      <c r="N388" s="836"/>
      <c r="O388" s="837"/>
      <c r="P388" s="839"/>
      <c r="Q388" s="839"/>
      <c r="R388" s="839"/>
      <c r="S388" s="839"/>
      <c r="T388" s="941"/>
      <c r="U388" s="879"/>
      <c r="V388" s="879"/>
      <c r="W388" s="880"/>
      <c r="X388" s="445"/>
      <c r="Y388" s="996"/>
      <c r="AH388" s="367"/>
    </row>
    <row r="389" spans="24:34" ht="6.75" customHeight="1">
      <c r="X389" s="445"/>
      <c r="AH389" s="367"/>
    </row>
    <row r="390" spans="1:34" ht="14.25">
      <c r="A390" s="263" t="s">
        <v>225</v>
      </c>
      <c r="B390" s="198" t="s">
        <v>226</v>
      </c>
      <c r="X390" s="445"/>
      <c r="AH390" s="367"/>
    </row>
    <row r="391" spans="1:34" ht="14.25">
      <c r="A391" s="794" t="s">
        <v>203</v>
      </c>
      <c r="B391" s="797" t="s">
        <v>204</v>
      </c>
      <c r="C391" s="798"/>
      <c r="D391" s="798"/>
      <c r="E391" s="798"/>
      <c r="F391" s="801" t="s">
        <v>205</v>
      </c>
      <c r="G391" s="802"/>
      <c r="H391" s="802"/>
      <c r="I391" s="802"/>
      <c r="J391" s="802"/>
      <c r="K391" s="802"/>
      <c r="L391" s="802"/>
      <c r="M391" s="802"/>
      <c r="N391" s="802"/>
      <c r="O391" s="802"/>
      <c r="P391" s="802"/>
      <c r="Q391" s="802"/>
      <c r="R391" s="802"/>
      <c r="S391" s="802"/>
      <c r="T391" s="802"/>
      <c r="U391" s="802"/>
      <c r="V391" s="802"/>
      <c r="W391" s="803"/>
      <c r="X391" s="445"/>
      <c r="Y391" s="12"/>
      <c r="AA391" s="12"/>
      <c r="AC391" s="12"/>
      <c r="AE391" s="12"/>
      <c r="AH391" s="367"/>
    </row>
    <row r="392" spans="1:34" ht="14.25" customHeight="1">
      <c r="A392" s="795"/>
      <c r="B392" s="799"/>
      <c r="C392" s="800"/>
      <c r="D392" s="800"/>
      <c r="E392" s="800"/>
      <c r="F392" s="804" t="s">
        <v>206</v>
      </c>
      <c r="G392" s="805"/>
      <c r="H392" s="805"/>
      <c r="I392" s="805"/>
      <c r="J392" s="805"/>
      <c r="K392" s="805"/>
      <c r="L392" s="805"/>
      <c r="M392" s="805"/>
      <c r="N392" s="805"/>
      <c r="O392" s="805"/>
      <c r="P392" s="805"/>
      <c r="Q392" s="805"/>
      <c r="R392" s="805"/>
      <c r="S392" s="805"/>
      <c r="T392" s="805"/>
      <c r="U392" s="805"/>
      <c r="V392" s="805"/>
      <c r="W392" s="806"/>
      <c r="X392" s="445"/>
      <c r="Y392" s="12"/>
      <c r="Z392" s="12"/>
      <c r="AA392" s="12"/>
      <c r="AB392" s="12"/>
      <c r="AC392" s="12"/>
      <c r="AD392" s="12"/>
      <c r="AE392" s="12"/>
      <c r="AH392" s="367"/>
    </row>
    <row r="393" spans="1:34" ht="14.25" customHeight="1">
      <c r="A393" s="796"/>
      <c r="B393" s="799"/>
      <c r="C393" s="800"/>
      <c r="D393" s="800"/>
      <c r="E393" s="800"/>
      <c r="F393" s="807">
        <v>0</v>
      </c>
      <c r="G393" s="808"/>
      <c r="H393" s="809"/>
      <c r="I393" s="810">
        <v>10</v>
      </c>
      <c r="J393" s="811"/>
      <c r="K393" s="811"/>
      <c r="L393" s="812"/>
      <c r="M393" s="810">
        <v>20</v>
      </c>
      <c r="N393" s="811"/>
      <c r="O393" s="811"/>
      <c r="P393" s="812"/>
      <c r="Q393" s="807" t="s">
        <v>268</v>
      </c>
      <c r="R393" s="808"/>
      <c r="S393" s="808"/>
      <c r="T393" s="808"/>
      <c r="U393" s="808"/>
      <c r="V393" s="808"/>
      <c r="W393" s="809"/>
      <c r="X393" s="445"/>
      <c r="Y393" s="12"/>
      <c r="Z393" s="12"/>
      <c r="AA393" s="12"/>
      <c r="AB393" s="12"/>
      <c r="AC393" s="12"/>
      <c r="AD393" s="12"/>
      <c r="AE393" s="12"/>
      <c r="AH393" s="367"/>
    </row>
    <row r="394" spans="1:34" ht="12.75" customHeight="1">
      <c r="A394" s="889" t="s">
        <v>228</v>
      </c>
      <c r="B394" s="816" t="s">
        <v>732</v>
      </c>
      <c r="C394" s="817"/>
      <c r="D394" s="817"/>
      <c r="E394" s="818"/>
      <c r="F394" s="825" t="s">
        <v>726</v>
      </c>
      <c r="G394" s="826"/>
      <c r="H394" s="827"/>
      <c r="I394" s="892" t="s">
        <v>727</v>
      </c>
      <c r="J394" s="893"/>
      <c r="K394" s="893"/>
      <c r="L394" s="894"/>
      <c r="M394" s="892" t="s">
        <v>728</v>
      </c>
      <c r="N394" s="893"/>
      <c r="O394" s="893"/>
      <c r="P394" s="894"/>
      <c r="Q394" s="892" t="s">
        <v>729</v>
      </c>
      <c r="R394" s="893"/>
      <c r="S394" s="893"/>
      <c r="T394" s="893"/>
      <c r="U394" s="893"/>
      <c r="V394" s="893"/>
      <c r="W394" s="894"/>
      <c r="X394" s="445"/>
      <c r="Y394" s="12"/>
      <c r="AA394" s="12"/>
      <c r="AB394" s="12"/>
      <c r="AC394" s="12"/>
      <c r="AH394" s="367"/>
    </row>
    <row r="395" spans="1:34" ht="12.75" customHeight="1">
      <c r="A395" s="890"/>
      <c r="B395" s="819"/>
      <c r="C395" s="820"/>
      <c r="D395" s="820"/>
      <c r="E395" s="821"/>
      <c r="F395" s="828"/>
      <c r="G395" s="829"/>
      <c r="H395" s="830"/>
      <c r="I395" s="895"/>
      <c r="J395" s="896"/>
      <c r="K395" s="896"/>
      <c r="L395" s="897"/>
      <c r="M395" s="895"/>
      <c r="N395" s="896"/>
      <c r="O395" s="896"/>
      <c r="P395" s="897"/>
      <c r="Q395" s="895"/>
      <c r="R395" s="896"/>
      <c r="S395" s="896"/>
      <c r="T395" s="896"/>
      <c r="U395" s="896"/>
      <c r="V395" s="896"/>
      <c r="W395" s="897"/>
      <c r="X395" s="445"/>
      <c r="Y395" s="12"/>
      <c r="AA395" s="12"/>
      <c r="AB395" s="12"/>
      <c r="AC395" s="12"/>
      <c r="AH395" s="367"/>
    </row>
    <row r="396" spans="1:34" ht="12.75" customHeight="1">
      <c r="A396" s="890"/>
      <c r="B396" s="819"/>
      <c r="C396" s="820"/>
      <c r="D396" s="820"/>
      <c r="E396" s="821"/>
      <c r="F396" s="828"/>
      <c r="G396" s="829"/>
      <c r="H396" s="830"/>
      <c r="I396" s="895"/>
      <c r="J396" s="896"/>
      <c r="K396" s="896"/>
      <c r="L396" s="897"/>
      <c r="M396" s="895"/>
      <c r="N396" s="896"/>
      <c r="O396" s="896"/>
      <c r="P396" s="897"/>
      <c r="Q396" s="895"/>
      <c r="R396" s="896"/>
      <c r="S396" s="896"/>
      <c r="T396" s="896"/>
      <c r="U396" s="896"/>
      <c r="V396" s="896"/>
      <c r="W396" s="897"/>
      <c r="X396" s="445"/>
      <c r="Y396" s="12"/>
      <c r="AA396" s="12"/>
      <c r="AB396" s="12"/>
      <c r="AC396" s="12"/>
      <c r="AH396" s="367"/>
    </row>
    <row r="397" spans="1:34" ht="18.75" customHeight="1">
      <c r="A397" s="890"/>
      <c r="B397" s="819"/>
      <c r="C397" s="820"/>
      <c r="D397" s="820"/>
      <c r="E397" s="821"/>
      <c r="F397" s="828"/>
      <c r="G397" s="829"/>
      <c r="H397" s="830"/>
      <c r="I397" s="895"/>
      <c r="J397" s="896"/>
      <c r="K397" s="896"/>
      <c r="L397" s="897"/>
      <c r="M397" s="895"/>
      <c r="N397" s="896"/>
      <c r="O397" s="896"/>
      <c r="P397" s="897"/>
      <c r="Q397" s="895"/>
      <c r="R397" s="896"/>
      <c r="S397" s="896"/>
      <c r="T397" s="896"/>
      <c r="U397" s="896"/>
      <c r="V397" s="896"/>
      <c r="W397" s="897"/>
      <c r="X397" s="445"/>
      <c r="Y397" s="12"/>
      <c r="AA397" s="12"/>
      <c r="AB397" s="12"/>
      <c r="AC397" s="12"/>
      <c r="AH397" s="367"/>
    </row>
    <row r="398" spans="1:34" ht="12.75">
      <c r="A398" s="890"/>
      <c r="B398" s="819"/>
      <c r="C398" s="820"/>
      <c r="D398" s="820"/>
      <c r="E398" s="821"/>
      <c r="F398" s="828"/>
      <c r="G398" s="829"/>
      <c r="H398" s="830"/>
      <c r="I398" s="895"/>
      <c r="J398" s="896"/>
      <c r="K398" s="896"/>
      <c r="L398" s="897"/>
      <c r="M398" s="895"/>
      <c r="N398" s="896"/>
      <c r="O398" s="896"/>
      <c r="P398" s="897"/>
      <c r="Q398" s="901" t="s">
        <v>730</v>
      </c>
      <c r="R398" s="902"/>
      <c r="S398" s="902"/>
      <c r="T398" s="902"/>
      <c r="U398" s="902"/>
      <c r="V398" s="902"/>
      <c r="W398" s="903"/>
      <c r="X398" s="445"/>
      <c r="Y398" s="12"/>
      <c r="AH398" s="367"/>
    </row>
    <row r="399" spans="1:34" ht="12.75">
      <c r="A399" s="890"/>
      <c r="B399" s="819"/>
      <c r="C399" s="820"/>
      <c r="D399" s="820"/>
      <c r="E399" s="821"/>
      <c r="F399" s="831"/>
      <c r="G399" s="832"/>
      <c r="H399" s="833"/>
      <c r="I399" s="898"/>
      <c r="J399" s="899"/>
      <c r="K399" s="899"/>
      <c r="L399" s="900"/>
      <c r="M399" s="898"/>
      <c r="N399" s="899"/>
      <c r="O399" s="899"/>
      <c r="P399" s="900"/>
      <c r="Q399" s="904" t="s">
        <v>731</v>
      </c>
      <c r="R399" s="905"/>
      <c r="S399" s="905"/>
      <c r="T399" s="905"/>
      <c r="U399" s="905"/>
      <c r="V399" s="905"/>
      <c r="W399" s="906"/>
      <c r="X399" s="445"/>
      <c r="Y399" s="12"/>
      <c r="AH399" s="367"/>
    </row>
    <row r="400" spans="1:34" ht="12.75" customHeight="1">
      <c r="A400" s="890"/>
      <c r="B400" s="819"/>
      <c r="C400" s="820"/>
      <c r="D400" s="820"/>
      <c r="E400" s="821"/>
      <c r="F400" s="913">
        <f>IF(Y401=0,IF(FIO="","",0),"")</f>
      </c>
      <c r="G400" s="914"/>
      <c r="H400" s="915"/>
      <c r="I400" s="919"/>
      <c r="J400" s="920"/>
      <c r="K400" s="920"/>
      <c r="L400" s="921"/>
      <c r="M400" s="919"/>
      <c r="N400" s="920"/>
      <c r="O400" s="920"/>
      <c r="P400" s="921"/>
      <c r="Q400" s="919"/>
      <c r="R400" s="920"/>
      <c r="S400" s="920"/>
      <c r="T400" s="920"/>
      <c r="U400" s="920"/>
      <c r="V400" s="920"/>
      <c r="W400" s="921"/>
      <c r="X400" s="445"/>
      <c r="Z400" s="251" t="s">
        <v>208</v>
      </c>
      <c r="AA400" s="252" t="s">
        <v>278</v>
      </c>
      <c r="AE400" s="285" t="s">
        <v>3</v>
      </c>
      <c r="AF400" s="286" t="s">
        <v>2</v>
      </c>
      <c r="AH400" s="367"/>
    </row>
    <row r="401" spans="1:34" ht="12.75" customHeight="1">
      <c r="A401" s="891"/>
      <c r="B401" s="925"/>
      <c r="C401" s="926"/>
      <c r="D401" s="926"/>
      <c r="E401" s="927"/>
      <c r="F401" s="916"/>
      <c r="G401" s="917"/>
      <c r="H401" s="918"/>
      <c r="I401" s="922"/>
      <c r="J401" s="923"/>
      <c r="K401" s="923"/>
      <c r="L401" s="924"/>
      <c r="M401" s="922"/>
      <c r="N401" s="923"/>
      <c r="O401" s="923"/>
      <c r="P401" s="924"/>
      <c r="Q401" s="922"/>
      <c r="R401" s="923"/>
      <c r="S401" s="923"/>
      <c r="T401" s="923"/>
      <c r="U401" s="923"/>
      <c r="V401" s="923"/>
      <c r="W401" s="924"/>
      <c r="X401" s="445"/>
      <c r="Y401" s="267">
        <f>MAX(I400:W401)</f>
        <v>0</v>
      </c>
      <c r="Z401" s="253">
        <v>40</v>
      </c>
      <c r="AA401" s="270">
        <f>IF(z_kateg="высшая",AE401,AF401)</f>
        <v>10</v>
      </c>
      <c r="AE401" s="283">
        <v>20</v>
      </c>
      <c r="AF401" s="284">
        <v>10</v>
      </c>
      <c r="AH401" s="367"/>
    </row>
    <row r="402" spans="1:34" ht="14.25">
      <c r="A402" s="794" t="s">
        <v>203</v>
      </c>
      <c r="B402" s="797" t="s">
        <v>204</v>
      </c>
      <c r="C402" s="798"/>
      <c r="D402" s="798"/>
      <c r="E402" s="798"/>
      <c r="F402" s="801" t="s">
        <v>205</v>
      </c>
      <c r="G402" s="802"/>
      <c r="H402" s="802"/>
      <c r="I402" s="802"/>
      <c r="J402" s="802"/>
      <c r="K402" s="802"/>
      <c r="L402" s="802"/>
      <c r="M402" s="802"/>
      <c r="N402" s="802"/>
      <c r="O402" s="802"/>
      <c r="P402" s="802"/>
      <c r="Q402" s="802"/>
      <c r="R402" s="802"/>
      <c r="S402" s="802"/>
      <c r="T402" s="802"/>
      <c r="U402" s="802"/>
      <c r="V402" s="802"/>
      <c r="W402" s="803"/>
      <c r="X402" s="445"/>
      <c r="Y402" s="12"/>
      <c r="AA402" s="12"/>
      <c r="AC402" s="12"/>
      <c r="AE402" s="12"/>
      <c r="AH402" s="367"/>
    </row>
    <row r="403" spans="1:34" ht="14.25" customHeight="1">
      <c r="A403" s="795"/>
      <c r="B403" s="799"/>
      <c r="C403" s="800"/>
      <c r="D403" s="800"/>
      <c r="E403" s="800"/>
      <c r="F403" s="804" t="s">
        <v>210</v>
      </c>
      <c r="G403" s="805"/>
      <c r="H403" s="805"/>
      <c r="I403" s="805"/>
      <c r="J403" s="805"/>
      <c r="K403" s="805"/>
      <c r="L403" s="805"/>
      <c r="M403" s="805"/>
      <c r="N403" s="805"/>
      <c r="O403" s="805"/>
      <c r="P403" s="805"/>
      <c r="Q403" s="805"/>
      <c r="R403" s="805"/>
      <c r="S403" s="805"/>
      <c r="T403" s="805"/>
      <c r="U403" s="805"/>
      <c r="V403" s="805"/>
      <c r="W403" s="806"/>
      <c r="X403" s="445"/>
      <c r="Y403" s="12"/>
      <c r="Z403" s="12"/>
      <c r="AA403" s="12"/>
      <c r="AB403" s="12"/>
      <c r="AC403" s="12"/>
      <c r="AD403" s="12"/>
      <c r="AE403" s="12"/>
      <c r="AH403" s="367"/>
    </row>
    <row r="404" spans="1:34" ht="14.25" customHeight="1">
      <c r="A404" s="796"/>
      <c r="B404" s="799"/>
      <c r="C404" s="800"/>
      <c r="D404" s="800"/>
      <c r="E404" s="800"/>
      <c r="F404" s="807">
        <v>0</v>
      </c>
      <c r="G404" s="808"/>
      <c r="H404" s="809"/>
      <c r="I404" s="810">
        <v>10</v>
      </c>
      <c r="J404" s="811"/>
      <c r="K404" s="812"/>
      <c r="L404" s="810" t="s">
        <v>266</v>
      </c>
      <c r="M404" s="811"/>
      <c r="N404" s="811"/>
      <c r="O404" s="812"/>
      <c r="P404" s="810" t="s">
        <v>503</v>
      </c>
      <c r="Q404" s="811"/>
      <c r="R404" s="811"/>
      <c r="S404" s="812"/>
      <c r="T404" s="810" t="s">
        <v>504</v>
      </c>
      <c r="U404" s="811"/>
      <c r="V404" s="811"/>
      <c r="W404" s="812"/>
      <c r="X404" s="445"/>
      <c r="Y404" s="12"/>
      <c r="Z404" s="12"/>
      <c r="AA404" s="12"/>
      <c r="AB404" s="12"/>
      <c r="AC404" s="12"/>
      <c r="AD404" s="12"/>
      <c r="AE404" s="12"/>
      <c r="AH404" s="367"/>
    </row>
    <row r="405" spans="1:34" ht="12.75" customHeight="1">
      <c r="A405" s="889" t="s">
        <v>230</v>
      </c>
      <c r="B405" s="816" t="s">
        <v>505</v>
      </c>
      <c r="C405" s="817"/>
      <c r="D405" s="817"/>
      <c r="E405" s="818"/>
      <c r="F405" s="825" t="s">
        <v>284</v>
      </c>
      <c r="G405" s="826"/>
      <c r="H405" s="827"/>
      <c r="I405" s="825" t="s">
        <v>411</v>
      </c>
      <c r="J405" s="826"/>
      <c r="K405" s="827"/>
      <c r="L405" s="825" t="s">
        <v>408</v>
      </c>
      <c r="M405" s="826"/>
      <c r="N405" s="826"/>
      <c r="O405" s="827"/>
      <c r="P405" s="825" t="s">
        <v>410</v>
      </c>
      <c r="Q405" s="826"/>
      <c r="R405" s="826"/>
      <c r="S405" s="827"/>
      <c r="T405" s="825" t="s">
        <v>409</v>
      </c>
      <c r="U405" s="826"/>
      <c r="V405" s="826"/>
      <c r="W405" s="827"/>
      <c r="X405" s="445"/>
      <c r="Y405" s="12"/>
      <c r="AA405" s="12"/>
      <c r="AB405" s="12"/>
      <c r="AC405" s="12"/>
      <c r="AH405" s="367"/>
    </row>
    <row r="406" spans="1:34" ht="12.75" customHeight="1">
      <c r="A406" s="890"/>
      <c r="B406" s="819"/>
      <c r="C406" s="820"/>
      <c r="D406" s="820"/>
      <c r="E406" s="821"/>
      <c r="F406" s="828"/>
      <c r="G406" s="829"/>
      <c r="H406" s="830"/>
      <c r="I406" s="828"/>
      <c r="J406" s="829"/>
      <c r="K406" s="830"/>
      <c r="L406" s="828"/>
      <c r="M406" s="829"/>
      <c r="N406" s="829"/>
      <c r="O406" s="830"/>
      <c r="P406" s="828"/>
      <c r="Q406" s="829"/>
      <c r="R406" s="829"/>
      <c r="S406" s="830"/>
      <c r="T406" s="828"/>
      <c r="U406" s="829"/>
      <c r="V406" s="829"/>
      <c r="W406" s="830"/>
      <c r="X406" s="445"/>
      <c r="Y406" s="12"/>
      <c r="AA406" s="12"/>
      <c r="AB406" s="12"/>
      <c r="AC406" s="12"/>
      <c r="AH406" s="367"/>
    </row>
    <row r="407" spans="1:34" ht="23.25" customHeight="1">
      <c r="A407" s="890"/>
      <c r="B407" s="819"/>
      <c r="C407" s="820"/>
      <c r="D407" s="820"/>
      <c r="E407" s="821"/>
      <c r="F407" s="828"/>
      <c r="G407" s="829"/>
      <c r="H407" s="830"/>
      <c r="I407" s="828"/>
      <c r="J407" s="829"/>
      <c r="K407" s="830"/>
      <c r="L407" s="828"/>
      <c r="M407" s="829"/>
      <c r="N407" s="829"/>
      <c r="O407" s="830"/>
      <c r="P407" s="828"/>
      <c r="Q407" s="829"/>
      <c r="R407" s="829"/>
      <c r="S407" s="830"/>
      <c r="T407" s="828"/>
      <c r="U407" s="829"/>
      <c r="V407" s="829"/>
      <c r="W407" s="830"/>
      <c r="X407" s="445"/>
      <c r="Y407" s="12"/>
      <c r="AA407" s="12"/>
      <c r="AB407" s="12"/>
      <c r="AC407" s="12"/>
      <c r="AH407" s="367"/>
    </row>
    <row r="408" spans="1:34" ht="21.75" customHeight="1">
      <c r="A408" s="890"/>
      <c r="B408" s="819"/>
      <c r="C408" s="820"/>
      <c r="D408" s="820"/>
      <c r="E408" s="821"/>
      <c r="F408" s="1068"/>
      <c r="G408" s="1069"/>
      <c r="H408" s="1070"/>
      <c r="I408" s="1004"/>
      <c r="J408" s="1005"/>
      <c r="K408" s="1006"/>
      <c r="L408" s="901" t="s">
        <v>290</v>
      </c>
      <c r="M408" s="902"/>
      <c r="N408" s="902"/>
      <c r="O408" s="902"/>
      <c r="P408" s="901" t="s">
        <v>292</v>
      </c>
      <c r="Q408" s="902"/>
      <c r="R408" s="902"/>
      <c r="S408" s="902"/>
      <c r="T408" s="901" t="s">
        <v>294</v>
      </c>
      <c r="U408" s="902"/>
      <c r="V408" s="902"/>
      <c r="W408" s="903"/>
      <c r="X408" s="445"/>
      <c r="Y408" s="12"/>
      <c r="AH408" s="367"/>
    </row>
    <row r="409" spans="1:34" ht="17.25" customHeight="1">
      <c r="A409" s="890"/>
      <c r="B409" s="819"/>
      <c r="C409" s="820"/>
      <c r="D409" s="820"/>
      <c r="E409" s="821"/>
      <c r="F409" s="1071"/>
      <c r="G409" s="1072"/>
      <c r="H409" s="1073"/>
      <c r="I409" s="1004"/>
      <c r="J409" s="1005"/>
      <c r="K409" s="1006"/>
      <c r="L409" s="904" t="s">
        <v>291</v>
      </c>
      <c r="M409" s="905"/>
      <c r="N409" s="905"/>
      <c r="O409" s="905"/>
      <c r="P409" s="904" t="s">
        <v>293</v>
      </c>
      <c r="Q409" s="905"/>
      <c r="R409" s="905"/>
      <c r="S409" s="905"/>
      <c r="T409" s="904" t="s">
        <v>282</v>
      </c>
      <c r="U409" s="905"/>
      <c r="V409" s="905"/>
      <c r="W409" s="906"/>
      <c r="X409" s="445"/>
      <c r="Y409" s="12"/>
      <c r="AH409" s="367"/>
    </row>
    <row r="410" spans="1:34" ht="12.75" customHeight="1">
      <c r="A410" s="890"/>
      <c r="B410" s="819"/>
      <c r="C410" s="820"/>
      <c r="D410" s="820"/>
      <c r="E410" s="821"/>
      <c r="F410" s="913">
        <f>IF(Y411=0,IF(FIO="","",0),"")</f>
      </c>
      <c r="G410" s="914"/>
      <c r="H410" s="915"/>
      <c r="I410" s="919"/>
      <c r="J410" s="920"/>
      <c r="K410" s="921"/>
      <c r="L410" s="839"/>
      <c r="M410" s="839"/>
      <c r="N410" s="839"/>
      <c r="O410" s="839"/>
      <c r="P410" s="839"/>
      <c r="Q410" s="839"/>
      <c r="R410" s="839"/>
      <c r="S410" s="839"/>
      <c r="T410" s="839"/>
      <c r="U410" s="839"/>
      <c r="V410" s="839"/>
      <c r="W410" s="839"/>
      <c r="X410" s="445"/>
      <c r="Z410" s="251" t="s">
        <v>208</v>
      </c>
      <c r="AA410" s="252" t="s">
        <v>278</v>
      </c>
      <c r="AE410" s="285" t="s">
        <v>3</v>
      </c>
      <c r="AF410" s="286" t="s">
        <v>2</v>
      </c>
      <c r="AH410" s="367"/>
    </row>
    <row r="411" spans="1:34" ht="12.75" customHeight="1">
      <c r="A411" s="891"/>
      <c r="B411" s="925" t="s">
        <v>311</v>
      </c>
      <c r="C411" s="926"/>
      <c r="D411" s="926"/>
      <c r="E411" s="927"/>
      <c r="F411" s="916"/>
      <c r="G411" s="917"/>
      <c r="H411" s="918"/>
      <c r="I411" s="922"/>
      <c r="J411" s="923"/>
      <c r="K411" s="924"/>
      <c r="L411" s="839"/>
      <c r="M411" s="839"/>
      <c r="N411" s="839"/>
      <c r="O411" s="839"/>
      <c r="P411" s="839"/>
      <c r="Q411" s="839"/>
      <c r="R411" s="839"/>
      <c r="S411" s="839"/>
      <c r="T411" s="839"/>
      <c r="U411" s="839"/>
      <c r="V411" s="839"/>
      <c r="W411" s="839"/>
      <c r="X411" s="445"/>
      <c r="Y411" s="267">
        <f>SUM(I410:W411)</f>
        <v>0</v>
      </c>
      <c r="Z411" s="253">
        <v>100</v>
      </c>
      <c r="AA411" s="270">
        <f>IF(z_kateg="высшая",AE411,AF411)</f>
        <v>10</v>
      </c>
      <c r="AE411" s="283">
        <v>20</v>
      </c>
      <c r="AF411" s="284">
        <v>10</v>
      </c>
      <c r="AH411" s="367"/>
    </row>
    <row r="412" spans="1:34" ht="12.75" customHeight="1">
      <c r="A412" s="889" t="s">
        <v>231</v>
      </c>
      <c r="B412" s="816" t="s">
        <v>733</v>
      </c>
      <c r="C412" s="817"/>
      <c r="D412" s="817"/>
      <c r="E412" s="818"/>
      <c r="F412" s="825" t="s">
        <v>284</v>
      </c>
      <c r="G412" s="826"/>
      <c r="H412" s="827"/>
      <c r="I412" s="825" t="s">
        <v>411</v>
      </c>
      <c r="J412" s="826"/>
      <c r="K412" s="827"/>
      <c r="L412" s="825" t="s">
        <v>408</v>
      </c>
      <c r="M412" s="826"/>
      <c r="N412" s="826"/>
      <c r="O412" s="827"/>
      <c r="P412" s="825" t="s">
        <v>410</v>
      </c>
      <c r="Q412" s="826"/>
      <c r="R412" s="826"/>
      <c r="S412" s="827"/>
      <c r="T412" s="825" t="s">
        <v>409</v>
      </c>
      <c r="U412" s="826"/>
      <c r="V412" s="826"/>
      <c r="W412" s="827"/>
      <c r="X412" s="445"/>
      <c r="Y412" s="12"/>
      <c r="AA412" s="12"/>
      <c r="AB412" s="12"/>
      <c r="AC412" s="12"/>
      <c r="AH412" s="367"/>
    </row>
    <row r="413" spans="1:34" ht="15.75" customHeight="1">
      <c r="A413" s="890"/>
      <c r="B413" s="819"/>
      <c r="C413" s="820"/>
      <c r="D413" s="820"/>
      <c r="E413" s="821"/>
      <c r="F413" s="828"/>
      <c r="G413" s="829"/>
      <c r="H413" s="830"/>
      <c r="I413" s="828"/>
      <c r="J413" s="829"/>
      <c r="K413" s="830"/>
      <c r="L413" s="828"/>
      <c r="M413" s="829"/>
      <c r="N413" s="829"/>
      <c r="O413" s="830"/>
      <c r="P413" s="828"/>
      <c r="Q413" s="829"/>
      <c r="R413" s="829"/>
      <c r="S413" s="830"/>
      <c r="T413" s="828"/>
      <c r="U413" s="829"/>
      <c r="V413" s="829"/>
      <c r="W413" s="830"/>
      <c r="X413" s="445"/>
      <c r="Y413" s="12"/>
      <c r="AA413" s="12"/>
      <c r="AB413" s="12"/>
      <c r="AC413" s="12"/>
      <c r="AH413" s="367"/>
    </row>
    <row r="414" spans="1:34" ht="12.75" customHeight="1">
      <c r="A414" s="890"/>
      <c r="B414" s="819"/>
      <c r="C414" s="820"/>
      <c r="D414" s="820"/>
      <c r="E414" s="821"/>
      <c r="F414" s="828"/>
      <c r="G414" s="829"/>
      <c r="H414" s="830"/>
      <c r="I414" s="828"/>
      <c r="J414" s="829"/>
      <c r="K414" s="830"/>
      <c r="L414" s="828"/>
      <c r="M414" s="829"/>
      <c r="N414" s="829"/>
      <c r="O414" s="830"/>
      <c r="P414" s="828"/>
      <c r="Q414" s="829"/>
      <c r="R414" s="829"/>
      <c r="S414" s="830"/>
      <c r="T414" s="828"/>
      <c r="U414" s="829"/>
      <c r="V414" s="829"/>
      <c r="W414" s="830"/>
      <c r="X414" s="445"/>
      <c r="Y414" s="12"/>
      <c r="AA414" s="12"/>
      <c r="AB414" s="12"/>
      <c r="AC414" s="12"/>
      <c r="AH414" s="367"/>
    </row>
    <row r="415" spans="1:34" ht="12.75" customHeight="1">
      <c r="A415" s="890"/>
      <c r="B415" s="819"/>
      <c r="C415" s="820"/>
      <c r="D415" s="820"/>
      <c r="E415" s="821"/>
      <c r="F415" s="1068"/>
      <c r="G415" s="1069"/>
      <c r="H415" s="1070"/>
      <c r="I415" s="1004"/>
      <c r="J415" s="1005"/>
      <c r="K415" s="1006"/>
      <c r="L415" s="901" t="s">
        <v>295</v>
      </c>
      <c r="M415" s="902"/>
      <c r="N415" s="902"/>
      <c r="O415" s="903"/>
      <c r="P415" s="901" t="s">
        <v>296</v>
      </c>
      <c r="Q415" s="902"/>
      <c r="R415" s="902"/>
      <c r="S415" s="903"/>
      <c r="T415" s="901" t="s">
        <v>416</v>
      </c>
      <c r="U415" s="902"/>
      <c r="V415" s="902"/>
      <c r="W415" s="903"/>
      <c r="X415" s="445"/>
      <c r="Y415" s="12"/>
      <c r="AH415" s="367"/>
    </row>
    <row r="416" spans="1:34" ht="12.75" customHeight="1">
      <c r="A416" s="890"/>
      <c r="B416" s="819"/>
      <c r="C416" s="820"/>
      <c r="D416" s="820"/>
      <c r="E416" s="821"/>
      <c r="F416" s="1071"/>
      <c r="G416" s="1072"/>
      <c r="H416" s="1073"/>
      <c r="I416" s="1004"/>
      <c r="J416" s="1005"/>
      <c r="K416" s="1006"/>
      <c r="L416" s="904" t="s">
        <v>291</v>
      </c>
      <c r="M416" s="905"/>
      <c r="N416" s="905"/>
      <c r="O416" s="906"/>
      <c r="P416" s="904" t="s">
        <v>415</v>
      </c>
      <c r="Q416" s="905"/>
      <c r="R416" s="905"/>
      <c r="S416" s="906"/>
      <c r="T416" s="904" t="s">
        <v>417</v>
      </c>
      <c r="U416" s="905"/>
      <c r="V416" s="905"/>
      <c r="W416" s="906"/>
      <c r="X416" s="445"/>
      <c r="Y416" s="12"/>
      <c r="AH416" s="367"/>
    </row>
    <row r="417" spans="1:34" ht="12.75" customHeight="1">
      <c r="A417" s="890"/>
      <c r="B417" s="1034" t="str">
        <f>B411</f>
        <v>(далее – Прил. № 4)</v>
      </c>
      <c r="C417" s="1035"/>
      <c r="D417" s="1035"/>
      <c r="E417" s="1036"/>
      <c r="F417" s="913">
        <f>IF(Y418=0,IF(FIO="","",0),"")</f>
      </c>
      <c r="G417" s="914"/>
      <c r="H417" s="915"/>
      <c r="I417" s="919"/>
      <c r="J417" s="920"/>
      <c r="K417" s="921"/>
      <c r="L417" s="919"/>
      <c r="M417" s="920"/>
      <c r="N417" s="920"/>
      <c r="O417" s="921"/>
      <c r="P417" s="919"/>
      <c r="Q417" s="920"/>
      <c r="R417" s="920"/>
      <c r="S417" s="921"/>
      <c r="T417" s="919"/>
      <c r="U417" s="920"/>
      <c r="V417" s="920"/>
      <c r="W417" s="921"/>
      <c r="X417" s="445"/>
      <c r="Z417" s="251" t="s">
        <v>208</v>
      </c>
      <c r="AA417" s="252" t="s">
        <v>278</v>
      </c>
      <c r="AE417" s="285" t="s">
        <v>3</v>
      </c>
      <c r="AF417" s="286" t="s">
        <v>2</v>
      </c>
      <c r="AH417" s="367"/>
    </row>
    <row r="418" spans="1:34" ht="12.75" customHeight="1">
      <c r="A418" s="891"/>
      <c r="B418" s="998"/>
      <c r="C418" s="999"/>
      <c r="D418" s="999"/>
      <c r="E418" s="1000"/>
      <c r="F418" s="916"/>
      <c r="G418" s="917"/>
      <c r="H418" s="918"/>
      <c r="I418" s="922"/>
      <c r="J418" s="923"/>
      <c r="K418" s="924"/>
      <c r="L418" s="922"/>
      <c r="M418" s="923"/>
      <c r="N418" s="923"/>
      <c r="O418" s="924"/>
      <c r="P418" s="922"/>
      <c r="Q418" s="923"/>
      <c r="R418" s="923"/>
      <c r="S418" s="924"/>
      <c r="T418" s="922"/>
      <c r="U418" s="923"/>
      <c r="V418" s="923"/>
      <c r="W418" s="924"/>
      <c r="X418" s="445"/>
      <c r="Y418" s="267">
        <f>SUM(I417:W418)</f>
        <v>0</v>
      </c>
      <c r="Z418" s="253">
        <v>120</v>
      </c>
      <c r="AA418" s="270">
        <f>IF(z_kateg="высшая",AE418,AF418)</f>
        <v>10</v>
      </c>
      <c r="AE418" s="283">
        <v>20</v>
      </c>
      <c r="AF418" s="284">
        <v>10</v>
      </c>
      <c r="AH418" s="367"/>
    </row>
    <row r="419" spans="1:34" ht="12.75" customHeight="1">
      <c r="A419" s="813" t="s">
        <v>232</v>
      </c>
      <c r="B419" s="816" t="s">
        <v>460</v>
      </c>
      <c r="C419" s="817"/>
      <c r="D419" s="817"/>
      <c r="E419" s="818"/>
      <c r="F419" s="825" t="s">
        <v>284</v>
      </c>
      <c r="G419" s="826"/>
      <c r="H419" s="827"/>
      <c r="I419" s="825" t="s">
        <v>411</v>
      </c>
      <c r="J419" s="826"/>
      <c r="K419" s="827"/>
      <c r="L419" s="825" t="s">
        <v>408</v>
      </c>
      <c r="M419" s="826"/>
      <c r="N419" s="826"/>
      <c r="O419" s="827"/>
      <c r="P419" s="825" t="s">
        <v>410</v>
      </c>
      <c r="Q419" s="826"/>
      <c r="R419" s="826"/>
      <c r="S419" s="827"/>
      <c r="T419" s="825" t="s">
        <v>409</v>
      </c>
      <c r="U419" s="826"/>
      <c r="V419" s="826"/>
      <c r="W419" s="827"/>
      <c r="X419" s="445"/>
      <c r="Y419" s="12"/>
      <c r="AA419" s="12"/>
      <c r="AB419" s="12"/>
      <c r="AC419" s="12"/>
      <c r="AH419" s="367"/>
    </row>
    <row r="420" spans="1:34" ht="12.75" customHeight="1">
      <c r="A420" s="814"/>
      <c r="B420" s="819"/>
      <c r="C420" s="820"/>
      <c r="D420" s="820"/>
      <c r="E420" s="821"/>
      <c r="F420" s="828"/>
      <c r="G420" s="829"/>
      <c r="H420" s="830"/>
      <c r="I420" s="828"/>
      <c r="J420" s="829"/>
      <c r="K420" s="830"/>
      <c r="L420" s="828"/>
      <c r="M420" s="829"/>
      <c r="N420" s="829"/>
      <c r="O420" s="830"/>
      <c r="P420" s="828"/>
      <c r="Q420" s="829"/>
      <c r="R420" s="829"/>
      <c r="S420" s="830"/>
      <c r="T420" s="828"/>
      <c r="U420" s="829"/>
      <c r="V420" s="829"/>
      <c r="W420" s="830"/>
      <c r="X420" s="445"/>
      <c r="Y420" s="12"/>
      <c r="AA420" s="12"/>
      <c r="AB420" s="12"/>
      <c r="AC420" s="12"/>
      <c r="AH420" s="367"/>
    </row>
    <row r="421" spans="1:34" ht="15" customHeight="1">
      <c r="A421" s="814"/>
      <c r="B421" s="819"/>
      <c r="C421" s="820"/>
      <c r="D421" s="820"/>
      <c r="E421" s="821"/>
      <c r="F421" s="828"/>
      <c r="G421" s="829"/>
      <c r="H421" s="830"/>
      <c r="I421" s="828"/>
      <c r="J421" s="829"/>
      <c r="K421" s="830"/>
      <c r="L421" s="828"/>
      <c r="M421" s="829"/>
      <c r="N421" s="829"/>
      <c r="O421" s="830"/>
      <c r="P421" s="828"/>
      <c r="Q421" s="829"/>
      <c r="R421" s="829"/>
      <c r="S421" s="830"/>
      <c r="T421" s="828"/>
      <c r="U421" s="829"/>
      <c r="V421" s="829"/>
      <c r="W421" s="830"/>
      <c r="X421" s="445"/>
      <c r="Y421" s="12"/>
      <c r="AA421" s="12"/>
      <c r="AB421" s="12"/>
      <c r="AC421" s="12"/>
      <c r="AH421" s="367"/>
    </row>
    <row r="422" spans="1:34" ht="13.5" customHeight="1">
      <c r="A422" s="814"/>
      <c r="B422" s="819"/>
      <c r="C422" s="820"/>
      <c r="D422" s="820"/>
      <c r="E422" s="821"/>
      <c r="F422" s="1068"/>
      <c r="G422" s="1069"/>
      <c r="H422" s="1070"/>
      <c r="I422" s="1004"/>
      <c r="J422" s="1005"/>
      <c r="K422" s="1006"/>
      <c r="L422" s="901" t="s">
        <v>297</v>
      </c>
      <c r="M422" s="902"/>
      <c r="N422" s="902"/>
      <c r="O422" s="903"/>
      <c r="P422" s="901" t="s">
        <v>298</v>
      </c>
      <c r="Q422" s="902"/>
      <c r="R422" s="902"/>
      <c r="S422" s="903"/>
      <c r="T422" s="901" t="s">
        <v>299</v>
      </c>
      <c r="U422" s="902"/>
      <c r="V422" s="902"/>
      <c r="W422" s="903"/>
      <c r="X422" s="445"/>
      <c r="Y422" s="12"/>
      <c r="AH422" s="367"/>
    </row>
    <row r="423" spans="1:34" ht="15" customHeight="1">
      <c r="A423" s="814"/>
      <c r="B423" s="819"/>
      <c r="C423" s="820"/>
      <c r="D423" s="820"/>
      <c r="E423" s="821"/>
      <c r="F423" s="1071"/>
      <c r="G423" s="1072"/>
      <c r="H423" s="1073"/>
      <c r="I423" s="1004"/>
      <c r="J423" s="1005"/>
      <c r="K423" s="1006"/>
      <c r="L423" s="904" t="s">
        <v>291</v>
      </c>
      <c r="M423" s="905"/>
      <c r="N423" s="905"/>
      <c r="O423" s="906"/>
      <c r="P423" s="904" t="s">
        <v>293</v>
      </c>
      <c r="Q423" s="905"/>
      <c r="R423" s="905"/>
      <c r="S423" s="906"/>
      <c r="T423" s="904" t="s">
        <v>282</v>
      </c>
      <c r="U423" s="905"/>
      <c r="V423" s="905"/>
      <c r="W423" s="906"/>
      <c r="X423" s="445"/>
      <c r="Y423" s="12"/>
      <c r="AH423" s="367"/>
    </row>
    <row r="424" spans="1:34" ht="12.75" customHeight="1">
      <c r="A424" s="814"/>
      <c r="B424" s="819"/>
      <c r="C424" s="820"/>
      <c r="D424" s="820"/>
      <c r="E424" s="821"/>
      <c r="F424" s="913">
        <f>IF(Y425=0,IF(FIO="","",0),"")</f>
      </c>
      <c r="G424" s="914"/>
      <c r="H424" s="915"/>
      <c r="I424" s="919"/>
      <c r="J424" s="920"/>
      <c r="K424" s="921"/>
      <c r="L424" s="919"/>
      <c r="M424" s="920"/>
      <c r="N424" s="920"/>
      <c r="O424" s="921"/>
      <c r="P424" s="919"/>
      <c r="Q424" s="920"/>
      <c r="R424" s="920"/>
      <c r="S424" s="921"/>
      <c r="T424" s="919"/>
      <c r="U424" s="920"/>
      <c r="V424" s="920"/>
      <c r="W424" s="921"/>
      <c r="X424" s="445"/>
      <c r="Z424" s="251" t="s">
        <v>208</v>
      </c>
      <c r="AA424" s="252" t="s">
        <v>278</v>
      </c>
      <c r="AE424" s="285" t="s">
        <v>3</v>
      </c>
      <c r="AF424" s="286" t="s">
        <v>2</v>
      </c>
      <c r="AH424" s="367"/>
    </row>
    <row r="425" spans="1:34" ht="12.75" customHeight="1">
      <c r="A425" s="815"/>
      <c r="B425" s="998" t="str">
        <f>B411</f>
        <v>(далее – Прил. № 4)</v>
      </c>
      <c r="C425" s="999"/>
      <c r="D425" s="999"/>
      <c r="E425" s="1000"/>
      <c r="F425" s="916"/>
      <c r="G425" s="917"/>
      <c r="H425" s="918"/>
      <c r="I425" s="922"/>
      <c r="J425" s="923"/>
      <c r="K425" s="924"/>
      <c r="L425" s="922"/>
      <c r="M425" s="923"/>
      <c r="N425" s="923"/>
      <c r="O425" s="924"/>
      <c r="P425" s="922"/>
      <c r="Q425" s="923"/>
      <c r="R425" s="923"/>
      <c r="S425" s="924"/>
      <c r="T425" s="922"/>
      <c r="U425" s="923"/>
      <c r="V425" s="923"/>
      <c r="W425" s="924"/>
      <c r="X425" s="445"/>
      <c r="Y425" s="267">
        <f>SUM(I424:W425)</f>
        <v>0</v>
      </c>
      <c r="Z425" s="253">
        <v>100</v>
      </c>
      <c r="AA425" s="270">
        <f>IF(z_kateg="высшая",AE425,AF425)</f>
        <v>0</v>
      </c>
      <c r="AE425" s="283">
        <v>10</v>
      </c>
      <c r="AF425" s="284">
        <v>0</v>
      </c>
      <c r="AH425" s="367"/>
    </row>
    <row r="426" spans="1:34" ht="14.25">
      <c r="A426" s="794" t="s">
        <v>203</v>
      </c>
      <c r="B426" s="797" t="s">
        <v>204</v>
      </c>
      <c r="C426" s="798"/>
      <c r="D426" s="798"/>
      <c r="E426" s="798"/>
      <c r="F426" s="801" t="s">
        <v>205</v>
      </c>
      <c r="G426" s="802"/>
      <c r="H426" s="802"/>
      <c r="I426" s="802"/>
      <c r="J426" s="802"/>
      <c r="K426" s="802"/>
      <c r="L426" s="802"/>
      <c r="M426" s="802"/>
      <c r="N426" s="802"/>
      <c r="O426" s="802"/>
      <c r="P426" s="802"/>
      <c r="Q426" s="802"/>
      <c r="R426" s="802"/>
      <c r="S426" s="802"/>
      <c r="T426" s="802"/>
      <c r="U426" s="802"/>
      <c r="V426" s="802"/>
      <c r="W426" s="803"/>
      <c r="X426" s="445"/>
      <c r="Y426" s="12"/>
      <c r="AH426" s="367"/>
    </row>
    <row r="427" spans="1:34" ht="12.75" customHeight="1">
      <c r="A427" s="795"/>
      <c r="B427" s="799"/>
      <c r="C427" s="800"/>
      <c r="D427" s="800"/>
      <c r="E427" s="800"/>
      <c r="F427" s="804" t="s">
        <v>210</v>
      </c>
      <c r="G427" s="805"/>
      <c r="H427" s="805"/>
      <c r="I427" s="805"/>
      <c r="J427" s="805"/>
      <c r="K427" s="805"/>
      <c r="L427" s="805"/>
      <c r="M427" s="805"/>
      <c r="N427" s="805"/>
      <c r="O427" s="805"/>
      <c r="P427" s="805"/>
      <c r="Q427" s="805"/>
      <c r="R427" s="805"/>
      <c r="S427" s="805"/>
      <c r="T427" s="805"/>
      <c r="U427" s="805"/>
      <c r="V427" s="805"/>
      <c r="W427" s="806"/>
      <c r="X427" s="445"/>
      <c r="AH427" s="367"/>
    </row>
    <row r="428" spans="1:34" ht="12.75" customHeight="1">
      <c r="A428" s="796"/>
      <c r="B428" s="846"/>
      <c r="C428" s="847"/>
      <c r="D428" s="847"/>
      <c r="E428" s="847"/>
      <c r="F428" s="848">
        <v>0</v>
      </c>
      <c r="G428" s="848"/>
      <c r="H428" s="848"/>
      <c r="I428" s="848">
        <v>10</v>
      </c>
      <c r="J428" s="848"/>
      <c r="K428" s="848"/>
      <c r="L428" s="848"/>
      <c r="M428" s="848"/>
      <c r="N428" s="848"/>
      <c r="O428" s="848"/>
      <c r="P428" s="807" t="s">
        <v>266</v>
      </c>
      <c r="Q428" s="808"/>
      <c r="R428" s="808"/>
      <c r="S428" s="808"/>
      <c r="T428" s="808"/>
      <c r="U428" s="808"/>
      <c r="V428" s="808"/>
      <c r="W428" s="809"/>
      <c r="X428" s="445"/>
      <c r="AH428" s="367"/>
    </row>
    <row r="429" spans="1:34" ht="15" customHeight="1">
      <c r="A429" s="889" t="s">
        <v>233</v>
      </c>
      <c r="B429" s="816" t="s">
        <v>506</v>
      </c>
      <c r="C429" s="817"/>
      <c r="D429" s="817"/>
      <c r="E429" s="818"/>
      <c r="F429" s="995" t="s">
        <v>300</v>
      </c>
      <c r="G429" s="995"/>
      <c r="H429" s="995"/>
      <c r="I429" s="995" t="s">
        <v>418</v>
      </c>
      <c r="J429" s="995"/>
      <c r="K429" s="995"/>
      <c r="L429" s="995"/>
      <c r="M429" s="995"/>
      <c r="N429" s="995"/>
      <c r="O429" s="995"/>
      <c r="P429" s="825" t="s">
        <v>441</v>
      </c>
      <c r="Q429" s="826"/>
      <c r="R429" s="826"/>
      <c r="S429" s="826"/>
      <c r="T429" s="826"/>
      <c r="U429" s="826"/>
      <c r="V429" s="826"/>
      <c r="W429" s="827"/>
      <c r="X429" s="445"/>
      <c r="Y429" s="12"/>
      <c r="AH429" s="367"/>
    </row>
    <row r="430" spans="1:34" ht="15" customHeight="1">
      <c r="A430" s="890"/>
      <c r="B430" s="819"/>
      <c r="C430" s="820"/>
      <c r="D430" s="820"/>
      <c r="E430" s="821"/>
      <c r="F430" s="995"/>
      <c r="G430" s="995"/>
      <c r="H430" s="995"/>
      <c r="I430" s="995"/>
      <c r="J430" s="995"/>
      <c r="K430" s="995"/>
      <c r="L430" s="995"/>
      <c r="M430" s="995"/>
      <c r="N430" s="995"/>
      <c r="O430" s="995"/>
      <c r="P430" s="828"/>
      <c r="Q430" s="829"/>
      <c r="R430" s="829"/>
      <c r="S430" s="829"/>
      <c r="T430" s="829"/>
      <c r="U430" s="829"/>
      <c r="V430" s="829"/>
      <c r="W430" s="830"/>
      <c r="X430" s="445"/>
      <c r="Y430" s="12"/>
      <c r="AH430" s="367"/>
    </row>
    <row r="431" spans="1:34" ht="15" customHeight="1">
      <c r="A431" s="890"/>
      <c r="B431" s="819"/>
      <c r="C431" s="820"/>
      <c r="D431" s="820"/>
      <c r="E431" s="821"/>
      <c r="F431" s="995"/>
      <c r="G431" s="995"/>
      <c r="H431" s="995"/>
      <c r="I431" s="995"/>
      <c r="J431" s="995"/>
      <c r="K431" s="995"/>
      <c r="L431" s="995"/>
      <c r="M431" s="995"/>
      <c r="N431" s="995"/>
      <c r="O431" s="995"/>
      <c r="P431" s="828"/>
      <c r="Q431" s="829"/>
      <c r="R431" s="829"/>
      <c r="S431" s="829"/>
      <c r="T431" s="829"/>
      <c r="U431" s="829"/>
      <c r="V431" s="829"/>
      <c r="W431" s="830"/>
      <c r="X431" s="445"/>
      <c r="Y431" s="12"/>
      <c r="AH431" s="367"/>
    </row>
    <row r="432" spans="1:34" ht="15" customHeight="1">
      <c r="A432" s="890"/>
      <c r="B432" s="819"/>
      <c r="C432" s="820"/>
      <c r="D432" s="820"/>
      <c r="E432" s="821"/>
      <c r="F432" s="995"/>
      <c r="G432" s="995"/>
      <c r="H432" s="995"/>
      <c r="I432" s="995"/>
      <c r="J432" s="995"/>
      <c r="K432" s="995"/>
      <c r="L432" s="995"/>
      <c r="M432" s="995"/>
      <c r="N432" s="995"/>
      <c r="O432" s="995"/>
      <c r="P432" s="828"/>
      <c r="Q432" s="829"/>
      <c r="R432" s="829"/>
      <c r="S432" s="829"/>
      <c r="T432" s="829"/>
      <c r="U432" s="829"/>
      <c r="V432" s="829"/>
      <c r="W432" s="830"/>
      <c r="X432" s="445"/>
      <c r="Y432" s="12"/>
      <c r="AH432" s="367"/>
    </row>
    <row r="433" spans="1:34" ht="1.5" customHeight="1">
      <c r="A433" s="890"/>
      <c r="B433" s="819"/>
      <c r="C433" s="820"/>
      <c r="D433" s="820"/>
      <c r="E433" s="821"/>
      <c r="F433" s="995"/>
      <c r="G433" s="995"/>
      <c r="H433" s="995"/>
      <c r="I433" s="995"/>
      <c r="J433" s="995"/>
      <c r="K433" s="995"/>
      <c r="L433" s="995"/>
      <c r="M433" s="995"/>
      <c r="N433" s="995"/>
      <c r="O433" s="995"/>
      <c r="P433" s="831"/>
      <c r="Q433" s="832"/>
      <c r="R433" s="832"/>
      <c r="S433" s="832"/>
      <c r="T433" s="832"/>
      <c r="U433" s="832"/>
      <c r="V433" s="832"/>
      <c r="W433" s="833"/>
      <c r="X433" s="445"/>
      <c r="Y433" s="12"/>
      <c r="AH433" s="367"/>
    </row>
    <row r="434" spans="1:34" ht="12.75" customHeight="1">
      <c r="A434" s="890"/>
      <c r="B434" s="1034" t="str">
        <f>B411</f>
        <v>(далее – Прил. № 4)</v>
      </c>
      <c r="C434" s="1035"/>
      <c r="D434" s="1035"/>
      <c r="E434" s="1036"/>
      <c r="F434" s="913">
        <f>IF(Y435=0,IF(FIO="","",0),"")</f>
      </c>
      <c r="G434" s="914"/>
      <c r="H434" s="915"/>
      <c r="I434" s="839"/>
      <c r="J434" s="839"/>
      <c r="K434" s="839"/>
      <c r="L434" s="839"/>
      <c r="M434" s="839"/>
      <c r="N434" s="839"/>
      <c r="O434" s="839"/>
      <c r="P434" s="919"/>
      <c r="Q434" s="920"/>
      <c r="R434" s="920"/>
      <c r="S434" s="920"/>
      <c r="T434" s="920"/>
      <c r="U434" s="920"/>
      <c r="V434" s="920"/>
      <c r="W434" s="921"/>
      <c r="X434" s="445"/>
      <c r="Z434" s="251" t="s">
        <v>208</v>
      </c>
      <c r="AA434" s="252" t="s">
        <v>278</v>
      </c>
      <c r="AE434" s="285" t="s">
        <v>3</v>
      </c>
      <c r="AF434" s="286" t="s">
        <v>2</v>
      </c>
      <c r="AH434" s="367"/>
    </row>
    <row r="435" spans="1:34" ht="12.75" customHeight="1">
      <c r="A435" s="891"/>
      <c r="B435" s="998"/>
      <c r="C435" s="999"/>
      <c r="D435" s="999"/>
      <c r="E435" s="1000"/>
      <c r="F435" s="916"/>
      <c r="G435" s="917"/>
      <c r="H435" s="918"/>
      <c r="I435" s="839"/>
      <c r="J435" s="839"/>
      <c r="K435" s="839"/>
      <c r="L435" s="839"/>
      <c r="M435" s="839"/>
      <c r="N435" s="839"/>
      <c r="O435" s="839"/>
      <c r="P435" s="922"/>
      <c r="Q435" s="923"/>
      <c r="R435" s="923"/>
      <c r="S435" s="923"/>
      <c r="T435" s="923"/>
      <c r="U435" s="923"/>
      <c r="V435" s="923"/>
      <c r="W435" s="924"/>
      <c r="X435" s="445"/>
      <c r="Y435" s="267">
        <f>SUM(I434:W435)</f>
        <v>0</v>
      </c>
      <c r="Z435" s="253">
        <v>30</v>
      </c>
      <c r="AA435" s="270">
        <f>IF(z_kateg="высшая",AE435,AF435)</f>
        <v>20</v>
      </c>
      <c r="AE435" s="283">
        <v>20</v>
      </c>
      <c r="AF435" s="284">
        <v>20</v>
      </c>
      <c r="AH435" s="367"/>
    </row>
    <row r="436" spans="1:34" ht="14.25">
      <c r="A436" s="794" t="s">
        <v>203</v>
      </c>
      <c r="B436" s="797" t="s">
        <v>204</v>
      </c>
      <c r="C436" s="798"/>
      <c r="D436" s="798"/>
      <c r="E436" s="883"/>
      <c r="F436" s="801" t="s">
        <v>215</v>
      </c>
      <c r="G436" s="802"/>
      <c r="H436" s="802"/>
      <c r="I436" s="802"/>
      <c r="J436" s="802"/>
      <c r="K436" s="802"/>
      <c r="L436" s="802"/>
      <c r="M436" s="802"/>
      <c r="N436" s="802"/>
      <c r="O436" s="802"/>
      <c r="P436" s="802"/>
      <c r="Q436" s="802"/>
      <c r="R436" s="802"/>
      <c r="S436" s="802"/>
      <c r="T436" s="802"/>
      <c r="U436" s="802"/>
      <c r="V436" s="802"/>
      <c r="W436" s="803"/>
      <c r="X436" s="445"/>
      <c r="Z436" s="207"/>
      <c r="AA436" s="207"/>
      <c r="AH436" s="367"/>
    </row>
    <row r="437" spans="1:34" ht="14.25" customHeight="1">
      <c r="A437" s="795"/>
      <c r="B437" s="799"/>
      <c r="C437" s="800"/>
      <c r="D437" s="800"/>
      <c r="E437" s="884"/>
      <c r="F437" s="804" t="s">
        <v>210</v>
      </c>
      <c r="G437" s="805"/>
      <c r="H437" s="805"/>
      <c r="I437" s="805"/>
      <c r="J437" s="805"/>
      <c r="K437" s="805"/>
      <c r="L437" s="805"/>
      <c r="M437" s="805"/>
      <c r="N437" s="805"/>
      <c r="O437" s="805"/>
      <c r="P437" s="805"/>
      <c r="Q437" s="805"/>
      <c r="R437" s="805"/>
      <c r="S437" s="805"/>
      <c r="T437" s="805"/>
      <c r="U437" s="805"/>
      <c r="V437" s="805"/>
      <c r="W437" s="806"/>
      <c r="X437" s="445"/>
      <c r="AH437" s="367"/>
    </row>
    <row r="438" spans="1:34" ht="14.25" customHeight="1">
      <c r="A438" s="796"/>
      <c r="B438" s="846"/>
      <c r="C438" s="847"/>
      <c r="D438" s="847"/>
      <c r="E438" s="885"/>
      <c r="F438" s="848">
        <v>0</v>
      </c>
      <c r="G438" s="848"/>
      <c r="H438" s="848"/>
      <c r="I438" s="807">
        <v>10</v>
      </c>
      <c r="J438" s="808"/>
      <c r="K438" s="809"/>
      <c r="L438" s="807">
        <v>10</v>
      </c>
      <c r="M438" s="808"/>
      <c r="N438" s="808"/>
      <c r="O438" s="809"/>
      <c r="P438" s="807">
        <v>20</v>
      </c>
      <c r="Q438" s="808"/>
      <c r="R438" s="808"/>
      <c r="S438" s="809"/>
      <c r="T438" s="807">
        <v>20</v>
      </c>
      <c r="U438" s="808"/>
      <c r="V438" s="808"/>
      <c r="W438" s="809"/>
      <c r="X438" s="445"/>
      <c r="AH438" s="367"/>
    </row>
    <row r="439" spans="1:34" ht="15" customHeight="1">
      <c r="A439" s="889" t="s">
        <v>234</v>
      </c>
      <c r="B439" s="816" t="s">
        <v>507</v>
      </c>
      <c r="C439" s="817"/>
      <c r="D439" s="817"/>
      <c r="E439" s="818"/>
      <c r="F439" s="995" t="s">
        <v>284</v>
      </c>
      <c r="G439" s="995"/>
      <c r="H439" s="995"/>
      <c r="I439" s="825" t="s">
        <v>420</v>
      </c>
      <c r="J439" s="826"/>
      <c r="K439" s="827"/>
      <c r="L439" s="825" t="s">
        <v>408</v>
      </c>
      <c r="M439" s="826"/>
      <c r="N439" s="826"/>
      <c r="O439" s="827"/>
      <c r="P439" s="825" t="s">
        <v>410</v>
      </c>
      <c r="Q439" s="826"/>
      <c r="R439" s="826"/>
      <c r="S439" s="827"/>
      <c r="T439" s="825" t="s">
        <v>409</v>
      </c>
      <c r="U439" s="826"/>
      <c r="V439" s="826"/>
      <c r="W439" s="827"/>
      <c r="X439" s="445"/>
      <c r="AH439" s="367"/>
    </row>
    <row r="440" spans="1:34" ht="15" customHeight="1">
      <c r="A440" s="890"/>
      <c r="B440" s="819"/>
      <c r="C440" s="820"/>
      <c r="D440" s="820"/>
      <c r="E440" s="821"/>
      <c r="F440" s="995"/>
      <c r="G440" s="995"/>
      <c r="H440" s="995"/>
      <c r="I440" s="828"/>
      <c r="J440" s="829"/>
      <c r="K440" s="830"/>
      <c r="L440" s="828"/>
      <c r="M440" s="829"/>
      <c r="N440" s="829"/>
      <c r="O440" s="830"/>
      <c r="P440" s="828"/>
      <c r="Q440" s="829"/>
      <c r="R440" s="829"/>
      <c r="S440" s="830"/>
      <c r="T440" s="828"/>
      <c r="U440" s="829"/>
      <c r="V440" s="829"/>
      <c r="W440" s="830"/>
      <c r="X440" s="445"/>
      <c r="AB440" s="272"/>
      <c r="AC440" s="272"/>
      <c r="AD440" s="272"/>
      <c r="AH440" s="367"/>
    </row>
    <row r="441" spans="1:34" ht="15" customHeight="1">
      <c r="A441" s="890"/>
      <c r="B441" s="819"/>
      <c r="C441" s="820"/>
      <c r="D441" s="820"/>
      <c r="E441" s="821"/>
      <c r="F441" s="995"/>
      <c r="G441" s="995"/>
      <c r="H441" s="995"/>
      <c r="I441" s="831"/>
      <c r="J441" s="832"/>
      <c r="K441" s="833"/>
      <c r="L441" s="828"/>
      <c r="M441" s="829"/>
      <c r="N441" s="829"/>
      <c r="O441" s="830"/>
      <c r="P441" s="828"/>
      <c r="Q441" s="829"/>
      <c r="R441" s="829"/>
      <c r="S441" s="830"/>
      <c r="T441" s="828"/>
      <c r="U441" s="829"/>
      <c r="V441" s="829"/>
      <c r="W441" s="830"/>
      <c r="X441" s="445"/>
      <c r="Z441" s="273"/>
      <c r="AH441" s="367"/>
    </row>
    <row r="442" spans="1:34" ht="14.25" customHeight="1">
      <c r="A442" s="890"/>
      <c r="B442" s="819"/>
      <c r="C442" s="820"/>
      <c r="D442" s="820"/>
      <c r="E442" s="821"/>
      <c r="F442" s="913">
        <f>IF(Y443=0,IF(FIO="","",0),"")</f>
      </c>
      <c r="G442" s="914"/>
      <c r="H442" s="915"/>
      <c r="I442" s="919"/>
      <c r="J442" s="920"/>
      <c r="K442" s="921"/>
      <c r="L442" s="839"/>
      <c r="M442" s="839"/>
      <c r="N442" s="839"/>
      <c r="O442" s="839"/>
      <c r="P442" s="839"/>
      <c r="Q442" s="839"/>
      <c r="R442" s="839"/>
      <c r="S442" s="839"/>
      <c r="T442" s="839"/>
      <c r="U442" s="839"/>
      <c r="V442" s="839"/>
      <c r="W442" s="839"/>
      <c r="X442" s="445"/>
      <c r="Z442" s="251" t="s">
        <v>208</v>
      </c>
      <c r="AA442" s="252" t="s">
        <v>278</v>
      </c>
      <c r="AE442" s="285" t="s">
        <v>3</v>
      </c>
      <c r="AF442" s="286" t="s">
        <v>2</v>
      </c>
      <c r="AH442" s="367"/>
    </row>
    <row r="443" spans="1:34" ht="12.75" customHeight="1">
      <c r="A443" s="891"/>
      <c r="B443" s="998" t="str">
        <f>B411</f>
        <v>(далее – Прил. № 4)</v>
      </c>
      <c r="C443" s="999"/>
      <c r="D443" s="999"/>
      <c r="E443" s="1000"/>
      <c r="F443" s="916"/>
      <c r="G443" s="917"/>
      <c r="H443" s="918"/>
      <c r="I443" s="922"/>
      <c r="J443" s="923"/>
      <c r="K443" s="924"/>
      <c r="L443" s="839"/>
      <c r="M443" s="839"/>
      <c r="N443" s="839"/>
      <c r="O443" s="839"/>
      <c r="P443" s="839"/>
      <c r="Q443" s="839"/>
      <c r="R443" s="839"/>
      <c r="S443" s="839"/>
      <c r="T443" s="839"/>
      <c r="U443" s="839"/>
      <c r="V443" s="839"/>
      <c r="W443" s="839"/>
      <c r="X443" s="445"/>
      <c r="Y443" s="267">
        <f>SUM(I442:W443)</f>
        <v>0</v>
      </c>
      <c r="Z443" s="253">
        <v>60</v>
      </c>
      <c r="AA443" s="270">
        <f>IF(z_kateg="высшая",AE443,AF443)</f>
        <v>0</v>
      </c>
      <c r="AE443" s="283">
        <v>0</v>
      </c>
      <c r="AF443" s="284">
        <v>0</v>
      </c>
      <c r="AH443" s="367"/>
    </row>
    <row r="444" spans="1:34" ht="14.25">
      <c r="A444" s="794" t="s">
        <v>203</v>
      </c>
      <c r="B444" s="797" t="s">
        <v>204</v>
      </c>
      <c r="C444" s="798"/>
      <c r="D444" s="798"/>
      <c r="E444" s="798"/>
      <c r="F444" s="798"/>
      <c r="G444" s="798"/>
      <c r="H444" s="883"/>
      <c r="I444" s="801" t="s">
        <v>205</v>
      </c>
      <c r="J444" s="802"/>
      <c r="K444" s="802"/>
      <c r="L444" s="802"/>
      <c r="M444" s="802"/>
      <c r="N444" s="802"/>
      <c r="O444" s="802"/>
      <c r="P444" s="802"/>
      <c r="Q444" s="802"/>
      <c r="R444" s="802"/>
      <c r="S444" s="802"/>
      <c r="T444" s="802"/>
      <c r="U444" s="802"/>
      <c r="V444" s="802"/>
      <c r="W444" s="803"/>
      <c r="X444" s="445"/>
      <c r="Y444" s="12"/>
      <c r="AA444" s="12"/>
      <c r="AC444" s="12"/>
      <c r="AE444" s="12"/>
      <c r="AH444" s="367"/>
    </row>
    <row r="445" spans="1:34" ht="14.25" customHeight="1">
      <c r="A445" s="795"/>
      <c r="B445" s="799"/>
      <c r="C445" s="800"/>
      <c r="D445" s="800"/>
      <c r="E445" s="800"/>
      <c r="F445" s="800"/>
      <c r="G445" s="800"/>
      <c r="H445" s="884"/>
      <c r="I445" s="804" t="s">
        <v>210</v>
      </c>
      <c r="J445" s="805"/>
      <c r="K445" s="805"/>
      <c r="L445" s="805"/>
      <c r="M445" s="805"/>
      <c r="N445" s="805"/>
      <c r="O445" s="805"/>
      <c r="P445" s="805"/>
      <c r="Q445" s="805"/>
      <c r="R445" s="805"/>
      <c r="S445" s="805"/>
      <c r="T445" s="805"/>
      <c r="U445" s="805"/>
      <c r="V445" s="805"/>
      <c r="W445" s="806"/>
      <c r="X445" s="445"/>
      <c r="Y445" s="12"/>
      <c r="Z445" s="12"/>
      <c r="AA445" s="12"/>
      <c r="AB445" s="12"/>
      <c r="AC445" s="12"/>
      <c r="AD445" s="12"/>
      <c r="AE445" s="12"/>
      <c r="AH445" s="367"/>
    </row>
    <row r="446" spans="1:34" ht="14.25" customHeight="1">
      <c r="A446" s="796"/>
      <c r="B446" s="799"/>
      <c r="C446" s="800"/>
      <c r="D446" s="800"/>
      <c r="E446" s="800"/>
      <c r="F446" s="800"/>
      <c r="G446" s="800"/>
      <c r="H446" s="884"/>
      <c r="I446" s="807">
        <v>0</v>
      </c>
      <c r="J446" s="808"/>
      <c r="K446" s="809"/>
      <c r="L446" s="807" t="s">
        <v>266</v>
      </c>
      <c r="M446" s="808"/>
      <c r="N446" s="808"/>
      <c r="O446" s="809"/>
      <c r="P446" s="807" t="s">
        <v>268</v>
      </c>
      <c r="Q446" s="808"/>
      <c r="R446" s="808"/>
      <c r="S446" s="809"/>
      <c r="T446" s="807" t="s">
        <v>421</v>
      </c>
      <c r="U446" s="808"/>
      <c r="V446" s="808"/>
      <c r="W446" s="809"/>
      <c r="X446" s="445"/>
      <c r="Y446" s="12"/>
      <c r="Z446" s="12"/>
      <c r="AA446" s="12"/>
      <c r="AB446" s="12"/>
      <c r="AC446" s="12"/>
      <c r="AD446" s="12"/>
      <c r="AE446" s="12"/>
      <c r="AH446" s="367"/>
    </row>
    <row r="447" spans="1:34" ht="12.75" customHeight="1">
      <c r="A447" s="889" t="s">
        <v>235</v>
      </c>
      <c r="B447" s="816" t="s">
        <v>461</v>
      </c>
      <c r="C447" s="817"/>
      <c r="D447" s="817"/>
      <c r="E447" s="817"/>
      <c r="F447" s="817"/>
      <c r="G447" s="817"/>
      <c r="H447" s="818"/>
      <c r="I447" s="825" t="s">
        <v>211</v>
      </c>
      <c r="J447" s="826"/>
      <c r="K447" s="827"/>
      <c r="L447" s="825" t="s">
        <v>408</v>
      </c>
      <c r="M447" s="826"/>
      <c r="N447" s="826"/>
      <c r="O447" s="827"/>
      <c r="P447" s="825" t="s">
        <v>410</v>
      </c>
      <c r="Q447" s="826"/>
      <c r="R447" s="826"/>
      <c r="S447" s="827"/>
      <c r="T447" s="825" t="s">
        <v>419</v>
      </c>
      <c r="U447" s="826"/>
      <c r="V447" s="826"/>
      <c r="W447" s="827"/>
      <c r="X447" s="445"/>
      <c r="Y447" s="12"/>
      <c r="AA447" s="12"/>
      <c r="AB447" s="12"/>
      <c r="AC447" s="12"/>
      <c r="AH447" s="367"/>
    </row>
    <row r="448" spans="1:34" ht="12.75" customHeight="1">
      <c r="A448" s="890"/>
      <c r="B448" s="819"/>
      <c r="C448" s="820"/>
      <c r="D448" s="820"/>
      <c r="E448" s="820"/>
      <c r="F448" s="820"/>
      <c r="G448" s="820"/>
      <c r="H448" s="821"/>
      <c r="I448" s="828"/>
      <c r="J448" s="829"/>
      <c r="K448" s="830"/>
      <c r="L448" s="828"/>
      <c r="M448" s="829"/>
      <c r="N448" s="829"/>
      <c r="O448" s="830"/>
      <c r="P448" s="828"/>
      <c r="Q448" s="829"/>
      <c r="R448" s="829"/>
      <c r="S448" s="830"/>
      <c r="T448" s="828"/>
      <c r="U448" s="829"/>
      <c r="V448" s="829"/>
      <c r="W448" s="830"/>
      <c r="X448" s="445"/>
      <c r="Y448" s="12"/>
      <c r="AA448" s="12"/>
      <c r="AB448" s="12"/>
      <c r="AC448" s="12"/>
      <c r="AH448" s="367"/>
    </row>
    <row r="449" spans="1:34" ht="14.25" customHeight="1">
      <c r="A449" s="890"/>
      <c r="B449" s="819"/>
      <c r="C449" s="820"/>
      <c r="D449" s="820"/>
      <c r="E449" s="820"/>
      <c r="F449" s="820"/>
      <c r="G449" s="820"/>
      <c r="H449" s="821"/>
      <c r="I449" s="828"/>
      <c r="J449" s="829"/>
      <c r="K449" s="830"/>
      <c r="L449" s="828"/>
      <c r="M449" s="829"/>
      <c r="N449" s="829"/>
      <c r="O449" s="830"/>
      <c r="P449" s="828"/>
      <c r="Q449" s="829"/>
      <c r="R449" s="829"/>
      <c r="S449" s="830"/>
      <c r="T449" s="828"/>
      <c r="U449" s="829"/>
      <c r="V449" s="829"/>
      <c r="W449" s="830"/>
      <c r="X449" s="445"/>
      <c r="Y449" s="12"/>
      <c r="AA449" s="12"/>
      <c r="AB449" s="12"/>
      <c r="AC449" s="12"/>
      <c r="AH449" s="367"/>
    </row>
    <row r="450" spans="1:34" ht="12.75" customHeight="1">
      <c r="A450" s="890"/>
      <c r="B450" s="819"/>
      <c r="C450" s="820"/>
      <c r="D450" s="820"/>
      <c r="E450" s="820"/>
      <c r="F450" s="820"/>
      <c r="G450" s="820"/>
      <c r="H450" s="821"/>
      <c r="I450" s="901"/>
      <c r="J450" s="902"/>
      <c r="K450" s="903"/>
      <c r="L450" s="1004" t="s">
        <v>310</v>
      </c>
      <c r="M450" s="1005"/>
      <c r="N450" s="1005"/>
      <c r="O450" s="1006"/>
      <c r="P450" s="1004" t="s">
        <v>435</v>
      </c>
      <c r="Q450" s="1005"/>
      <c r="R450" s="1005"/>
      <c r="S450" s="1006"/>
      <c r="T450" s="1004" t="s">
        <v>436</v>
      </c>
      <c r="U450" s="1005"/>
      <c r="V450" s="1005"/>
      <c r="W450" s="1006"/>
      <c r="X450" s="445"/>
      <c r="Y450" s="12"/>
      <c r="AH450" s="367"/>
    </row>
    <row r="451" spans="1:34" ht="12.75" customHeight="1">
      <c r="A451" s="890"/>
      <c r="B451" s="819"/>
      <c r="C451" s="820"/>
      <c r="D451" s="820"/>
      <c r="E451" s="820"/>
      <c r="F451" s="820"/>
      <c r="G451" s="820"/>
      <c r="H451" s="821"/>
      <c r="I451" s="901"/>
      <c r="J451" s="902"/>
      <c r="K451" s="903"/>
      <c r="L451" s="1004"/>
      <c r="M451" s="1005"/>
      <c r="N451" s="1005"/>
      <c r="O451" s="1006"/>
      <c r="P451" s="1004"/>
      <c r="Q451" s="1005"/>
      <c r="R451" s="1005"/>
      <c r="S451" s="1006"/>
      <c r="T451" s="1004"/>
      <c r="U451" s="1005"/>
      <c r="V451" s="1005"/>
      <c r="W451" s="1006"/>
      <c r="X451" s="445"/>
      <c r="Y451" s="12"/>
      <c r="AH451" s="367"/>
    </row>
    <row r="452" spans="1:34" ht="15" customHeight="1">
      <c r="A452" s="890"/>
      <c r="B452" s="819"/>
      <c r="C452" s="820"/>
      <c r="D452" s="820"/>
      <c r="E452" s="820"/>
      <c r="F452" s="820"/>
      <c r="G452" s="820"/>
      <c r="H452" s="821"/>
      <c r="I452" s="1001"/>
      <c r="J452" s="1002"/>
      <c r="K452" s="1003"/>
      <c r="L452" s="1001" t="s">
        <v>291</v>
      </c>
      <c r="M452" s="1002"/>
      <c r="N452" s="1002"/>
      <c r="O452" s="1002"/>
      <c r="P452" s="1001" t="s">
        <v>282</v>
      </c>
      <c r="Q452" s="1002"/>
      <c r="R452" s="1002"/>
      <c r="S452" s="1003"/>
      <c r="T452" s="1001" t="s">
        <v>417</v>
      </c>
      <c r="U452" s="1002"/>
      <c r="V452" s="1002"/>
      <c r="W452" s="1003"/>
      <c r="X452" s="445"/>
      <c r="Y452" s="12"/>
      <c r="AH452" s="367"/>
    </row>
    <row r="453" spans="1:34" ht="12" customHeight="1">
      <c r="A453" s="890"/>
      <c r="B453" s="1034" t="str">
        <f>B411</f>
        <v>(далее – Прил. № 4)</v>
      </c>
      <c r="C453" s="1035"/>
      <c r="D453" s="1035"/>
      <c r="E453" s="1035"/>
      <c r="F453" s="1035"/>
      <c r="G453" s="1035"/>
      <c r="H453" s="1036"/>
      <c r="I453" s="913">
        <f>IF(Y454=0,IF(FIO="","",0),"")</f>
      </c>
      <c r="J453" s="834"/>
      <c r="K453" s="835"/>
      <c r="L453" s="839"/>
      <c r="M453" s="839"/>
      <c r="N453" s="839"/>
      <c r="O453" s="839"/>
      <c r="P453" s="839"/>
      <c r="Q453" s="839"/>
      <c r="R453" s="839"/>
      <c r="S453" s="839"/>
      <c r="T453" s="839"/>
      <c r="U453" s="839"/>
      <c r="V453" s="839"/>
      <c r="W453" s="839"/>
      <c r="X453" s="445"/>
      <c r="Z453" s="251" t="s">
        <v>208</v>
      </c>
      <c r="AA453" s="252" t="s">
        <v>278</v>
      </c>
      <c r="AE453" s="285" t="s">
        <v>3</v>
      </c>
      <c r="AF453" s="286" t="s">
        <v>2</v>
      </c>
      <c r="AH453" s="367"/>
    </row>
    <row r="454" spans="1:34" ht="12.75" customHeight="1">
      <c r="A454" s="891"/>
      <c r="B454" s="998"/>
      <c r="C454" s="999"/>
      <c r="D454" s="999"/>
      <c r="E454" s="999"/>
      <c r="F454" s="999"/>
      <c r="G454" s="999"/>
      <c r="H454" s="1000"/>
      <c r="I454" s="948"/>
      <c r="J454" s="836"/>
      <c r="K454" s="837"/>
      <c r="L454" s="839"/>
      <c r="M454" s="839"/>
      <c r="N454" s="839"/>
      <c r="O454" s="839"/>
      <c r="P454" s="839"/>
      <c r="Q454" s="839"/>
      <c r="R454" s="839"/>
      <c r="S454" s="839"/>
      <c r="T454" s="839"/>
      <c r="U454" s="839"/>
      <c r="V454" s="839"/>
      <c r="W454" s="839"/>
      <c r="X454" s="445"/>
      <c r="Y454" s="267">
        <f>SUM(L453:W454)</f>
        <v>0</v>
      </c>
      <c r="Z454" s="253">
        <v>110</v>
      </c>
      <c r="AA454" s="270">
        <f>IF(z_kateg="высшая",AE454,AF454)</f>
        <v>10</v>
      </c>
      <c r="AE454" s="283">
        <v>20</v>
      </c>
      <c r="AF454" s="284">
        <v>10</v>
      </c>
      <c r="AH454" s="367"/>
    </row>
    <row r="455" spans="1:34" ht="14.25">
      <c r="A455" s="794" t="s">
        <v>203</v>
      </c>
      <c r="B455" s="797" t="s">
        <v>204</v>
      </c>
      <c r="C455" s="798"/>
      <c r="D455" s="798"/>
      <c r="E455" s="798"/>
      <c r="F455" s="798"/>
      <c r="G455" s="798"/>
      <c r="H455" s="883"/>
      <c r="I455" s="801" t="s">
        <v>205</v>
      </c>
      <c r="J455" s="802"/>
      <c r="K455" s="802"/>
      <c r="L455" s="802"/>
      <c r="M455" s="802"/>
      <c r="N455" s="802"/>
      <c r="O455" s="802"/>
      <c r="P455" s="802"/>
      <c r="Q455" s="802"/>
      <c r="R455" s="802"/>
      <c r="S455" s="802"/>
      <c r="T455" s="802"/>
      <c r="U455" s="802"/>
      <c r="V455" s="802"/>
      <c r="W455" s="803"/>
      <c r="X455" s="445"/>
      <c r="Y455" s="12"/>
      <c r="AA455" s="12"/>
      <c r="AC455" s="12"/>
      <c r="AE455" s="12"/>
      <c r="AH455" s="367"/>
    </row>
    <row r="456" spans="1:34" ht="14.25" customHeight="1">
      <c r="A456" s="795"/>
      <c r="B456" s="799"/>
      <c r="C456" s="800"/>
      <c r="D456" s="800"/>
      <c r="E456" s="800"/>
      <c r="F456" s="800"/>
      <c r="G456" s="800"/>
      <c r="H456" s="884"/>
      <c r="I456" s="804" t="s">
        <v>206</v>
      </c>
      <c r="J456" s="805"/>
      <c r="K456" s="805"/>
      <c r="L456" s="805"/>
      <c r="M456" s="805"/>
      <c r="N456" s="805"/>
      <c r="O456" s="805"/>
      <c r="P456" s="805"/>
      <c r="Q456" s="805"/>
      <c r="R456" s="805"/>
      <c r="S456" s="805"/>
      <c r="T456" s="805"/>
      <c r="U456" s="805"/>
      <c r="V456" s="805"/>
      <c r="W456" s="806"/>
      <c r="X456" s="445"/>
      <c r="Y456" s="12"/>
      <c r="Z456" s="12"/>
      <c r="AA456" s="12"/>
      <c r="AB456" s="12"/>
      <c r="AC456" s="12"/>
      <c r="AD456" s="12"/>
      <c r="AE456" s="12"/>
      <c r="AH456" s="367"/>
    </row>
    <row r="457" spans="1:34" ht="14.25" customHeight="1">
      <c r="A457" s="796"/>
      <c r="B457" s="799"/>
      <c r="C457" s="800"/>
      <c r="D457" s="800"/>
      <c r="E457" s="800"/>
      <c r="F457" s="800"/>
      <c r="G457" s="800"/>
      <c r="H457" s="884"/>
      <c r="I457" s="807">
        <v>0</v>
      </c>
      <c r="J457" s="808"/>
      <c r="K457" s="809"/>
      <c r="L457" s="807">
        <v>10</v>
      </c>
      <c r="M457" s="808"/>
      <c r="N457" s="808"/>
      <c r="O457" s="809"/>
      <c r="P457" s="807">
        <v>20</v>
      </c>
      <c r="Q457" s="808"/>
      <c r="R457" s="808"/>
      <c r="S457" s="809"/>
      <c r="T457" s="807">
        <v>30</v>
      </c>
      <c r="U457" s="808"/>
      <c r="V457" s="808"/>
      <c r="W457" s="809"/>
      <c r="X457" s="445"/>
      <c r="Y457" s="12"/>
      <c r="Z457" s="12"/>
      <c r="AA457" s="12"/>
      <c r="AB457" s="12"/>
      <c r="AC457" s="12"/>
      <c r="AD457" s="12"/>
      <c r="AE457" s="12"/>
      <c r="AH457" s="367"/>
    </row>
    <row r="458" spans="1:34" ht="12.75" customHeight="1">
      <c r="A458" s="889" t="s">
        <v>236</v>
      </c>
      <c r="B458" s="816" t="s">
        <v>734</v>
      </c>
      <c r="C458" s="817"/>
      <c r="D458" s="817"/>
      <c r="E458" s="817"/>
      <c r="F458" s="817"/>
      <c r="G458" s="817"/>
      <c r="H458" s="818"/>
      <c r="I458" s="825" t="s">
        <v>211</v>
      </c>
      <c r="J458" s="826"/>
      <c r="K458" s="827"/>
      <c r="L458" s="892" t="s">
        <v>735</v>
      </c>
      <c r="M458" s="893"/>
      <c r="N458" s="893"/>
      <c r="O458" s="894"/>
      <c r="P458" s="892" t="s">
        <v>736</v>
      </c>
      <c r="Q458" s="893"/>
      <c r="R458" s="893"/>
      <c r="S458" s="894"/>
      <c r="T458" s="892" t="s">
        <v>737</v>
      </c>
      <c r="U458" s="893"/>
      <c r="V458" s="893"/>
      <c r="W458" s="894"/>
      <c r="X458" s="445"/>
      <c r="Y458" s="12"/>
      <c r="AA458" s="12"/>
      <c r="AB458" s="12"/>
      <c r="AC458" s="12"/>
      <c r="AH458" s="367"/>
    </row>
    <row r="459" spans="1:34" ht="12.75" customHeight="1">
      <c r="A459" s="890"/>
      <c r="B459" s="819"/>
      <c r="C459" s="820"/>
      <c r="D459" s="820"/>
      <c r="E459" s="820"/>
      <c r="F459" s="820"/>
      <c r="G459" s="820"/>
      <c r="H459" s="821"/>
      <c r="I459" s="828"/>
      <c r="J459" s="829"/>
      <c r="K459" s="830"/>
      <c r="L459" s="895"/>
      <c r="M459" s="896"/>
      <c r="N459" s="896"/>
      <c r="O459" s="897"/>
      <c r="P459" s="895"/>
      <c r="Q459" s="896"/>
      <c r="R459" s="896"/>
      <c r="S459" s="897"/>
      <c r="T459" s="895"/>
      <c r="U459" s="896"/>
      <c r="V459" s="896"/>
      <c r="W459" s="897"/>
      <c r="X459" s="445"/>
      <c r="Y459" s="12"/>
      <c r="AA459" s="12"/>
      <c r="AB459" s="12"/>
      <c r="AC459" s="12"/>
      <c r="AH459" s="367"/>
    </row>
    <row r="460" spans="1:34" ht="14.25" customHeight="1">
      <c r="A460" s="890"/>
      <c r="B460" s="819"/>
      <c r="C460" s="820"/>
      <c r="D460" s="820"/>
      <c r="E460" s="820"/>
      <c r="F460" s="820"/>
      <c r="G460" s="820"/>
      <c r="H460" s="821"/>
      <c r="I460" s="828"/>
      <c r="J460" s="829"/>
      <c r="K460" s="830"/>
      <c r="L460" s="895"/>
      <c r="M460" s="896"/>
      <c r="N460" s="896"/>
      <c r="O460" s="897"/>
      <c r="P460" s="895"/>
      <c r="Q460" s="896"/>
      <c r="R460" s="896"/>
      <c r="S460" s="897"/>
      <c r="T460" s="895"/>
      <c r="U460" s="896"/>
      <c r="V460" s="896"/>
      <c r="W460" s="897"/>
      <c r="X460" s="445"/>
      <c r="Y460" s="12"/>
      <c r="AA460" s="12"/>
      <c r="AB460" s="12"/>
      <c r="AC460" s="12"/>
      <c r="AH460" s="367"/>
    </row>
    <row r="461" spans="1:34" ht="12.75" customHeight="1">
      <c r="A461" s="890"/>
      <c r="B461" s="819"/>
      <c r="C461" s="820"/>
      <c r="D461" s="820"/>
      <c r="E461" s="820"/>
      <c r="F461" s="820"/>
      <c r="G461" s="820"/>
      <c r="H461" s="821"/>
      <c r="I461" s="901"/>
      <c r="J461" s="902"/>
      <c r="K461" s="903"/>
      <c r="L461" s="895"/>
      <c r="M461" s="896"/>
      <c r="N461" s="896"/>
      <c r="O461" s="897"/>
      <c r="P461" s="895"/>
      <c r="Q461" s="896"/>
      <c r="R461" s="896"/>
      <c r="S461" s="897"/>
      <c r="T461" s="895"/>
      <c r="U461" s="896"/>
      <c r="V461" s="896"/>
      <c r="W461" s="897"/>
      <c r="X461" s="445"/>
      <c r="Y461" s="12"/>
      <c r="AH461" s="367"/>
    </row>
    <row r="462" spans="1:34" ht="15" customHeight="1">
      <c r="A462" s="890"/>
      <c r="B462" s="819"/>
      <c r="C462" s="820"/>
      <c r="D462" s="820"/>
      <c r="E462" s="820"/>
      <c r="F462" s="820"/>
      <c r="G462" s="820"/>
      <c r="H462" s="821"/>
      <c r="I462" s="1001"/>
      <c r="J462" s="1002"/>
      <c r="K462" s="1003"/>
      <c r="L462" s="898"/>
      <c r="M462" s="899"/>
      <c r="N462" s="899"/>
      <c r="O462" s="900"/>
      <c r="P462" s="898"/>
      <c r="Q462" s="899"/>
      <c r="R462" s="899"/>
      <c r="S462" s="900"/>
      <c r="T462" s="898"/>
      <c r="U462" s="899"/>
      <c r="V462" s="899"/>
      <c r="W462" s="900"/>
      <c r="X462" s="445"/>
      <c r="Y462" s="12"/>
      <c r="AH462" s="367"/>
    </row>
    <row r="463" spans="1:34" ht="12" customHeight="1">
      <c r="A463" s="890"/>
      <c r="B463" s="1034" t="str">
        <f>B411</f>
        <v>(далее – Прил. № 4)</v>
      </c>
      <c r="C463" s="1035"/>
      <c r="D463" s="1035"/>
      <c r="E463" s="1035"/>
      <c r="F463" s="1035"/>
      <c r="G463" s="1035"/>
      <c r="H463" s="1036"/>
      <c r="I463" s="913">
        <f>IF(Y464=0,IF(FIO="","",0),"")</f>
      </c>
      <c r="J463" s="834"/>
      <c r="K463" s="835"/>
      <c r="L463" s="839"/>
      <c r="M463" s="839"/>
      <c r="N463" s="839"/>
      <c r="O463" s="839"/>
      <c r="P463" s="839"/>
      <c r="Q463" s="839"/>
      <c r="R463" s="839"/>
      <c r="S463" s="839"/>
      <c r="T463" s="839"/>
      <c r="U463" s="839"/>
      <c r="V463" s="839"/>
      <c r="W463" s="839"/>
      <c r="X463" s="445"/>
      <c r="Z463" s="251" t="s">
        <v>208</v>
      </c>
      <c r="AA463" s="252" t="s">
        <v>278</v>
      </c>
      <c r="AE463" s="285" t="s">
        <v>3</v>
      </c>
      <c r="AF463" s="286" t="s">
        <v>2</v>
      </c>
      <c r="AH463" s="367"/>
    </row>
    <row r="464" spans="1:34" ht="12.75" customHeight="1">
      <c r="A464" s="891"/>
      <c r="B464" s="998"/>
      <c r="C464" s="999"/>
      <c r="D464" s="999"/>
      <c r="E464" s="999"/>
      <c r="F464" s="999"/>
      <c r="G464" s="999"/>
      <c r="H464" s="1000"/>
      <c r="I464" s="948"/>
      <c r="J464" s="836"/>
      <c r="K464" s="837"/>
      <c r="L464" s="839"/>
      <c r="M464" s="839"/>
      <c r="N464" s="839"/>
      <c r="O464" s="839"/>
      <c r="P464" s="839"/>
      <c r="Q464" s="839"/>
      <c r="R464" s="839"/>
      <c r="S464" s="839"/>
      <c r="T464" s="839"/>
      <c r="U464" s="839"/>
      <c r="V464" s="839"/>
      <c r="W464" s="839"/>
      <c r="X464" s="445"/>
      <c r="Y464" s="267">
        <f>MAX(L463:W464)</f>
        <v>0</v>
      </c>
      <c r="Z464" s="253">
        <v>30</v>
      </c>
      <c r="AA464" s="270">
        <f>IF(z_kateg="высшая",AE464,AF464)</f>
        <v>10</v>
      </c>
      <c r="AE464" s="283">
        <v>20</v>
      </c>
      <c r="AF464" s="284">
        <v>10</v>
      </c>
      <c r="AH464" s="367"/>
    </row>
    <row r="465" spans="1:34" ht="14.25">
      <c r="A465" s="794" t="s">
        <v>203</v>
      </c>
      <c r="B465" s="797" t="s">
        <v>204</v>
      </c>
      <c r="C465" s="798"/>
      <c r="D465" s="798"/>
      <c r="E465" s="798"/>
      <c r="F465" s="798"/>
      <c r="G465" s="798"/>
      <c r="H465" s="798"/>
      <c r="I465" s="801" t="s">
        <v>205</v>
      </c>
      <c r="J465" s="802"/>
      <c r="K465" s="802"/>
      <c r="L465" s="802"/>
      <c r="M465" s="802"/>
      <c r="N465" s="802"/>
      <c r="O465" s="802"/>
      <c r="P465" s="802"/>
      <c r="Q465" s="802"/>
      <c r="R465" s="802"/>
      <c r="S465" s="802"/>
      <c r="T465" s="802"/>
      <c r="U465" s="802"/>
      <c r="V465" s="802"/>
      <c r="W465" s="803"/>
      <c r="X465" s="445"/>
      <c r="AA465" s="1024"/>
      <c r="AE465" s="1021"/>
      <c r="AF465" s="1021"/>
      <c r="AH465" s="367"/>
    </row>
    <row r="466" spans="1:34" ht="14.25" customHeight="1">
      <c r="A466" s="795"/>
      <c r="B466" s="799"/>
      <c r="C466" s="800"/>
      <c r="D466" s="800"/>
      <c r="E466" s="800"/>
      <c r="F466" s="800"/>
      <c r="G466" s="800"/>
      <c r="H466" s="800"/>
      <c r="I466" s="804"/>
      <c r="J466" s="805"/>
      <c r="K466" s="805"/>
      <c r="L466" s="805"/>
      <c r="M466" s="805"/>
      <c r="N466" s="805"/>
      <c r="O466" s="805"/>
      <c r="P466" s="805"/>
      <c r="Q466" s="805"/>
      <c r="R466" s="805"/>
      <c r="S466" s="805"/>
      <c r="T466" s="805"/>
      <c r="U466" s="805"/>
      <c r="V466" s="805"/>
      <c r="W466" s="806"/>
      <c r="X466" s="445"/>
      <c r="AA466" s="1024"/>
      <c r="AE466" s="1021"/>
      <c r="AF466" s="1021"/>
      <c r="AH466" s="367"/>
    </row>
    <row r="467" spans="1:34" ht="14.25" customHeight="1">
      <c r="A467" s="796"/>
      <c r="B467" s="846"/>
      <c r="C467" s="847"/>
      <c r="D467" s="847"/>
      <c r="E467" s="847"/>
      <c r="F467" s="847"/>
      <c r="G467" s="847"/>
      <c r="H467" s="847"/>
      <c r="I467" s="848">
        <v>0</v>
      </c>
      <c r="J467" s="848"/>
      <c r="K467" s="848"/>
      <c r="L467" s="848"/>
      <c r="M467" s="848"/>
      <c r="N467" s="848" t="s">
        <v>266</v>
      </c>
      <c r="O467" s="848"/>
      <c r="P467" s="848"/>
      <c r="Q467" s="848"/>
      <c r="R467" s="848"/>
      <c r="S467" s="848" t="s">
        <v>213</v>
      </c>
      <c r="T467" s="848"/>
      <c r="U467" s="848"/>
      <c r="V467" s="848"/>
      <c r="W467" s="848"/>
      <c r="X467" s="445"/>
      <c r="AA467" s="1024"/>
      <c r="AE467" s="1021"/>
      <c r="AF467" s="1021"/>
      <c r="AH467" s="367"/>
    </row>
    <row r="468" spans="1:34" ht="12.75" customHeight="1">
      <c r="A468" s="889" t="s">
        <v>239</v>
      </c>
      <c r="B468" s="816" t="s">
        <v>738</v>
      </c>
      <c r="C468" s="817"/>
      <c r="D468" s="817"/>
      <c r="E468" s="817"/>
      <c r="F468" s="817"/>
      <c r="G468" s="817"/>
      <c r="H468" s="818"/>
      <c r="I468" s="825" t="s">
        <v>237</v>
      </c>
      <c r="J468" s="826"/>
      <c r="K468" s="826"/>
      <c r="L468" s="826"/>
      <c r="M468" s="827"/>
      <c r="N468" s="892" t="s">
        <v>422</v>
      </c>
      <c r="O468" s="893"/>
      <c r="P468" s="893"/>
      <c r="Q468" s="893"/>
      <c r="R468" s="894"/>
      <c r="S468" s="892" t="s">
        <v>238</v>
      </c>
      <c r="T468" s="893"/>
      <c r="U468" s="893"/>
      <c r="V468" s="893"/>
      <c r="W468" s="894"/>
      <c r="X468" s="445"/>
      <c r="AA468" s="1024"/>
      <c r="AE468" s="1021"/>
      <c r="AF468" s="1021"/>
      <c r="AH468" s="367"/>
    </row>
    <row r="469" spans="1:34" ht="27" customHeight="1">
      <c r="A469" s="890"/>
      <c r="B469" s="819"/>
      <c r="C469" s="820"/>
      <c r="D469" s="820"/>
      <c r="E469" s="820"/>
      <c r="F469" s="820"/>
      <c r="G469" s="820"/>
      <c r="H469" s="821"/>
      <c r="I469" s="828"/>
      <c r="J469" s="829"/>
      <c r="K469" s="829"/>
      <c r="L469" s="829"/>
      <c r="M469" s="830"/>
      <c r="N469" s="895"/>
      <c r="O469" s="896"/>
      <c r="P469" s="896"/>
      <c r="Q469" s="896"/>
      <c r="R469" s="897"/>
      <c r="S469" s="895"/>
      <c r="T469" s="896"/>
      <c r="U469" s="896"/>
      <c r="V469" s="896"/>
      <c r="W469" s="897"/>
      <c r="X469" s="445"/>
      <c r="AA469" s="1024"/>
      <c r="AE469" s="1021"/>
      <c r="AF469" s="1021"/>
      <c r="AH469" s="367"/>
    </row>
    <row r="470" spans="1:34" ht="12.75" customHeight="1">
      <c r="A470" s="890"/>
      <c r="B470" s="819"/>
      <c r="C470" s="820"/>
      <c r="D470" s="820"/>
      <c r="E470" s="820"/>
      <c r="F470" s="820"/>
      <c r="G470" s="820"/>
      <c r="H470" s="821"/>
      <c r="I470" s="895"/>
      <c r="J470" s="896"/>
      <c r="K470" s="896"/>
      <c r="L470" s="896"/>
      <c r="M470" s="897"/>
      <c r="N470" s="901" t="s">
        <v>301</v>
      </c>
      <c r="O470" s="902"/>
      <c r="P470" s="902"/>
      <c r="Q470" s="902"/>
      <c r="R470" s="903"/>
      <c r="S470" s="901" t="s">
        <v>303</v>
      </c>
      <c r="T470" s="902"/>
      <c r="U470" s="902"/>
      <c r="V470" s="902"/>
      <c r="W470" s="903"/>
      <c r="X470" s="445"/>
      <c r="AA470" s="1024"/>
      <c r="AE470" s="1021"/>
      <c r="AF470" s="1021"/>
      <c r="AH470" s="367"/>
    </row>
    <row r="471" spans="1:34" ht="15.75" customHeight="1">
      <c r="A471" s="890"/>
      <c r="B471" s="819"/>
      <c r="C471" s="820"/>
      <c r="D471" s="820"/>
      <c r="E471" s="820"/>
      <c r="F471" s="820"/>
      <c r="G471" s="820"/>
      <c r="H471" s="821"/>
      <c r="I471" s="898"/>
      <c r="J471" s="899"/>
      <c r="K471" s="899"/>
      <c r="L471" s="899"/>
      <c r="M471" s="900"/>
      <c r="N471" s="904" t="s">
        <v>302</v>
      </c>
      <c r="O471" s="905"/>
      <c r="P471" s="905"/>
      <c r="Q471" s="905"/>
      <c r="R471" s="906"/>
      <c r="S471" s="904" t="s">
        <v>282</v>
      </c>
      <c r="T471" s="905"/>
      <c r="U471" s="905"/>
      <c r="V471" s="905"/>
      <c r="W471" s="906"/>
      <c r="X471" s="445"/>
      <c r="Y471" s="12"/>
      <c r="Z471" s="243"/>
      <c r="AA471" s="1024"/>
      <c r="AB471" s="277"/>
      <c r="AC471" s="12"/>
      <c r="AD471" s="12"/>
      <c r="AE471" s="1021"/>
      <c r="AF471" s="1021"/>
      <c r="AH471" s="367"/>
    </row>
    <row r="472" spans="1:34" ht="12.75" customHeight="1">
      <c r="A472" s="890"/>
      <c r="B472" s="1034" t="str">
        <f>B411</f>
        <v>(далее – Прил. № 4)</v>
      </c>
      <c r="C472" s="1035"/>
      <c r="D472" s="1035"/>
      <c r="E472" s="1035"/>
      <c r="F472" s="1035"/>
      <c r="G472" s="1035"/>
      <c r="H472" s="1036"/>
      <c r="I472" s="838">
        <f>IF(Y473=0,IF(FIO="","",0),"")</f>
      </c>
      <c r="J472" s="838"/>
      <c r="K472" s="838"/>
      <c r="L472" s="838"/>
      <c r="M472" s="838"/>
      <c r="N472" s="839"/>
      <c r="O472" s="839"/>
      <c r="P472" s="839"/>
      <c r="Q472" s="839"/>
      <c r="R472" s="839"/>
      <c r="S472" s="839"/>
      <c r="T472" s="839"/>
      <c r="U472" s="839"/>
      <c r="V472" s="839"/>
      <c r="W472" s="839"/>
      <c r="X472" s="445"/>
      <c r="Z472" s="251" t="s">
        <v>208</v>
      </c>
      <c r="AA472" s="1024"/>
      <c r="AE472" s="1021"/>
      <c r="AF472" s="1021"/>
      <c r="AH472" s="367"/>
    </row>
    <row r="473" spans="1:34" ht="12.75">
      <c r="A473" s="891"/>
      <c r="B473" s="998"/>
      <c r="C473" s="999"/>
      <c r="D473" s="999"/>
      <c r="E473" s="999"/>
      <c r="F473" s="999"/>
      <c r="G473" s="999"/>
      <c r="H473" s="1000"/>
      <c r="I473" s="838"/>
      <c r="J473" s="838"/>
      <c r="K473" s="838"/>
      <c r="L473" s="838"/>
      <c r="M473" s="838"/>
      <c r="N473" s="839"/>
      <c r="O473" s="839"/>
      <c r="P473" s="839"/>
      <c r="Q473" s="839"/>
      <c r="R473" s="839"/>
      <c r="S473" s="839"/>
      <c r="T473" s="839"/>
      <c r="U473" s="839"/>
      <c r="V473" s="839"/>
      <c r="W473" s="839"/>
      <c r="X473" s="445"/>
      <c r="Y473" s="267">
        <f>MAX(N472:W473)</f>
        <v>0</v>
      </c>
      <c r="Z473" s="253">
        <v>40</v>
      </c>
      <c r="AA473" s="1024"/>
      <c r="AE473" s="1021"/>
      <c r="AF473" s="1021"/>
      <c r="AH473" s="367"/>
    </row>
    <row r="474" spans="1:34" ht="14.25">
      <c r="A474" s="794" t="s">
        <v>203</v>
      </c>
      <c r="B474" s="797" t="s">
        <v>204</v>
      </c>
      <c r="C474" s="798"/>
      <c r="D474" s="798"/>
      <c r="E474" s="798"/>
      <c r="F474" s="798"/>
      <c r="G474" s="798"/>
      <c r="H474" s="798"/>
      <c r="I474" s="801" t="s">
        <v>205</v>
      </c>
      <c r="J474" s="802"/>
      <c r="K474" s="802"/>
      <c r="L474" s="802"/>
      <c r="M474" s="802"/>
      <c r="N474" s="802"/>
      <c r="O474" s="802"/>
      <c r="P474" s="802"/>
      <c r="Q474" s="802"/>
      <c r="R474" s="802"/>
      <c r="S474" s="802"/>
      <c r="T474" s="802"/>
      <c r="U474" s="802"/>
      <c r="V474" s="802"/>
      <c r="W474" s="803"/>
      <c r="X474" s="445"/>
      <c r="AA474" s="1024"/>
      <c r="AE474" s="1021"/>
      <c r="AF474" s="1021"/>
      <c r="AH474" s="367"/>
    </row>
    <row r="475" spans="1:34" ht="14.25" customHeight="1">
      <c r="A475" s="795"/>
      <c r="B475" s="799"/>
      <c r="C475" s="800"/>
      <c r="D475" s="800"/>
      <c r="E475" s="800"/>
      <c r="F475" s="800"/>
      <c r="G475" s="800"/>
      <c r="H475" s="800"/>
      <c r="I475" s="804" t="s">
        <v>210</v>
      </c>
      <c r="J475" s="805"/>
      <c r="K475" s="805"/>
      <c r="L475" s="805"/>
      <c r="M475" s="805"/>
      <c r="N475" s="805"/>
      <c r="O475" s="805"/>
      <c r="P475" s="805"/>
      <c r="Q475" s="805"/>
      <c r="R475" s="805"/>
      <c r="S475" s="805"/>
      <c r="T475" s="805"/>
      <c r="U475" s="805"/>
      <c r="V475" s="805"/>
      <c r="W475" s="806"/>
      <c r="X475" s="445"/>
      <c r="AA475" s="1024"/>
      <c r="AE475" s="1021"/>
      <c r="AF475" s="1021"/>
      <c r="AH475" s="367"/>
    </row>
    <row r="476" spans="1:34" ht="14.25" customHeight="1">
      <c r="A476" s="796"/>
      <c r="B476" s="846"/>
      <c r="C476" s="847"/>
      <c r="D476" s="847"/>
      <c r="E476" s="847"/>
      <c r="F476" s="847"/>
      <c r="G476" s="847"/>
      <c r="H476" s="847"/>
      <c r="I476" s="848">
        <v>0</v>
      </c>
      <c r="J476" s="848"/>
      <c r="K476" s="848"/>
      <c r="L476" s="848"/>
      <c r="M476" s="848"/>
      <c r="N476" s="848" t="s">
        <v>212</v>
      </c>
      <c r="O476" s="848"/>
      <c r="P476" s="848"/>
      <c r="Q476" s="848"/>
      <c r="R476" s="848"/>
      <c r="S476" s="848" t="s">
        <v>229</v>
      </c>
      <c r="T476" s="848"/>
      <c r="U476" s="848"/>
      <c r="V476" s="848"/>
      <c r="W476" s="848"/>
      <c r="X476" s="445"/>
      <c r="AA476" s="1024"/>
      <c r="AE476" s="1021"/>
      <c r="AF476" s="1021"/>
      <c r="AH476" s="367"/>
    </row>
    <row r="477" spans="1:34" ht="12.75" customHeight="1">
      <c r="A477" s="813" t="s">
        <v>739</v>
      </c>
      <c r="B477" s="816" t="s">
        <v>304</v>
      </c>
      <c r="C477" s="817"/>
      <c r="D477" s="817"/>
      <c r="E477" s="817"/>
      <c r="F477" s="817"/>
      <c r="G477" s="817"/>
      <c r="H477" s="818"/>
      <c r="I477" s="825" t="s">
        <v>442</v>
      </c>
      <c r="J477" s="826"/>
      <c r="K477" s="826"/>
      <c r="L477" s="826"/>
      <c r="M477" s="827"/>
      <c r="N477" s="892" t="s">
        <v>428</v>
      </c>
      <c r="O477" s="893"/>
      <c r="P477" s="893"/>
      <c r="Q477" s="893"/>
      <c r="R477" s="894"/>
      <c r="S477" s="892" t="s">
        <v>429</v>
      </c>
      <c r="T477" s="893"/>
      <c r="U477" s="893"/>
      <c r="V477" s="893"/>
      <c r="W477" s="894"/>
      <c r="X477" s="445"/>
      <c r="AA477" s="1024"/>
      <c r="AE477" s="1021"/>
      <c r="AF477" s="1021"/>
      <c r="AH477" s="367"/>
    </row>
    <row r="478" spans="1:34" ht="6.75" customHeight="1">
      <c r="A478" s="814"/>
      <c r="B478" s="819"/>
      <c r="C478" s="820"/>
      <c r="D478" s="820"/>
      <c r="E478" s="820"/>
      <c r="F478" s="820"/>
      <c r="G478" s="820"/>
      <c r="H478" s="821"/>
      <c r="I478" s="828"/>
      <c r="J478" s="829"/>
      <c r="K478" s="829"/>
      <c r="L478" s="829"/>
      <c r="M478" s="830"/>
      <c r="N478" s="895"/>
      <c r="O478" s="896"/>
      <c r="P478" s="896"/>
      <c r="Q478" s="896"/>
      <c r="R478" s="897"/>
      <c r="S478" s="895"/>
      <c r="T478" s="896"/>
      <c r="U478" s="896"/>
      <c r="V478" s="896"/>
      <c r="W478" s="897"/>
      <c r="X478" s="445"/>
      <c r="AA478" s="1024"/>
      <c r="AE478" s="1021"/>
      <c r="AF478" s="1021"/>
      <c r="AH478" s="367"/>
    </row>
    <row r="479" spans="1:34" ht="12.75">
      <c r="A479" s="814"/>
      <c r="B479" s="1037" t="s">
        <v>311</v>
      </c>
      <c r="C479" s="1038"/>
      <c r="D479" s="1038"/>
      <c r="E479" s="1038"/>
      <c r="F479" s="1038"/>
      <c r="G479" s="1038"/>
      <c r="H479" s="1039"/>
      <c r="I479" s="828"/>
      <c r="J479" s="829"/>
      <c r="K479" s="829"/>
      <c r="L479" s="829"/>
      <c r="M479" s="830"/>
      <c r="N479" s="895"/>
      <c r="O479" s="896"/>
      <c r="P479" s="896"/>
      <c r="Q479" s="896"/>
      <c r="R479" s="897"/>
      <c r="S479" s="895"/>
      <c r="T479" s="896"/>
      <c r="U479" s="896"/>
      <c r="V479" s="896"/>
      <c r="W479" s="897"/>
      <c r="X479" s="445"/>
      <c r="AA479" s="1024"/>
      <c r="AE479" s="1021"/>
      <c r="AF479" s="1021"/>
      <c r="AH479" s="367"/>
    </row>
    <row r="480" spans="1:34" ht="12.75">
      <c r="A480" s="814"/>
      <c r="B480" s="1034" t="s">
        <v>740</v>
      </c>
      <c r="C480" s="1035"/>
      <c r="D480" s="1035"/>
      <c r="E480" s="1035"/>
      <c r="F480" s="1035"/>
      <c r="G480" s="1035"/>
      <c r="H480" s="1036"/>
      <c r="I480" s="895"/>
      <c r="J480" s="896"/>
      <c r="K480" s="896"/>
      <c r="L480" s="896"/>
      <c r="M480" s="897"/>
      <c r="N480" s="901" t="s">
        <v>425</v>
      </c>
      <c r="O480" s="902"/>
      <c r="P480" s="902"/>
      <c r="Q480" s="902"/>
      <c r="R480" s="903"/>
      <c r="S480" s="901" t="s">
        <v>426</v>
      </c>
      <c r="T480" s="902"/>
      <c r="U480" s="902"/>
      <c r="V480" s="902"/>
      <c r="W480" s="903"/>
      <c r="X480" s="445"/>
      <c r="AA480" s="1024"/>
      <c r="AE480" s="1021"/>
      <c r="AF480" s="1021"/>
      <c r="AH480" s="367"/>
    </row>
    <row r="481" spans="1:34" ht="12.75" customHeight="1">
      <c r="A481" s="814"/>
      <c r="B481" s="1034"/>
      <c r="C481" s="1035"/>
      <c r="D481" s="1035"/>
      <c r="E481" s="1035"/>
      <c r="F481" s="1035"/>
      <c r="G481" s="1035"/>
      <c r="H481" s="1036"/>
      <c r="I481" s="895"/>
      <c r="J481" s="896"/>
      <c r="K481" s="896"/>
      <c r="L481" s="896"/>
      <c r="M481" s="897"/>
      <c r="N481" s="901" t="s">
        <v>424</v>
      </c>
      <c r="O481" s="902"/>
      <c r="P481" s="902"/>
      <c r="Q481" s="902"/>
      <c r="R481" s="903"/>
      <c r="S481" s="901" t="s">
        <v>427</v>
      </c>
      <c r="T481" s="902"/>
      <c r="U481" s="902"/>
      <c r="V481" s="902"/>
      <c r="W481" s="903"/>
      <c r="X481" s="445"/>
      <c r="AA481" s="1024"/>
      <c r="AE481" s="1021"/>
      <c r="AF481" s="1021"/>
      <c r="AH481" s="367"/>
    </row>
    <row r="482" spans="1:34" ht="18" customHeight="1">
      <c r="A482" s="814"/>
      <c r="B482" s="1034"/>
      <c r="C482" s="1035"/>
      <c r="D482" s="1035"/>
      <c r="E482" s="1035"/>
      <c r="F482" s="1035"/>
      <c r="G482" s="1035"/>
      <c r="H482" s="1036"/>
      <c r="I482" s="898"/>
      <c r="J482" s="899"/>
      <c r="K482" s="899"/>
      <c r="L482" s="899"/>
      <c r="M482" s="900"/>
      <c r="N482" s="1059" t="s">
        <v>423</v>
      </c>
      <c r="O482" s="1060"/>
      <c r="P482" s="1060"/>
      <c r="Q482" s="1060"/>
      <c r="R482" s="1061"/>
      <c r="S482" s="904"/>
      <c r="T482" s="905"/>
      <c r="U482" s="905"/>
      <c r="V482" s="905"/>
      <c r="W482" s="906"/>
      <c r="X482" s="445"/>
      <c r="Y482" s="12"/>
      <c r="Z482" s="243"/>
      <c r="AA482" s="1024"/>
      <c r="AB482" s="277"/>
      <c r="AC482" s="12"/>
      <c r="AD482" s="12"/>
      <c r="AE482" s="1021"/>
      <c r="AF482" s="1021"/>
      <c r="AH482" s="367"/>
    </row>
    <row r="483" spans="1:34" ht="12.75" customHeight="1">
      <c r="A483" s="814"/>
      <c r="B483" s="1034"/>
      <c r="C483" s="1035"/>
      <c r="D483" s="1035"/>
      <c r="E483" s="1035"/>
      <c r="F483" s="1035"/>
      <c r="G483" s="1035"/>
      <c r="H483" s="1036"/>
      <c r="I483" s="838">
        <f>IF(Y484=0,IF(FIO="","",0),"")</f>
      </c>
      <c r="J483" s="838"/>
      <c r="K483" s="838"/>
      <c r="L483" s="838"/>
      <c r="M483" s="838"/>
      <c r="N483" s="839"/>
      <c r="O483" s="839"/>
      <c r="P483" s="839"/>
      <c r="Q483" s="839"/>
      <c r="R483" s="839"/>
      <c r="S483" s="839"/>
      <c r="T483" s="839"/>
      <c r="U483" s="839"/>
      <c r="V483" s="839"/>
      <c r="W483" s="839"/>
      <c r="X483" s="445"/>
      <c r="Z483" s="251" t="s">
        <v>208</v>
      </c>
      <c r="AA483" s="1024"/>
      <c r="AE483" s="1021"/>
      <c r="AF483" s="1021"/>
      <c r="AH483" s="367"/>
    </row>
    <row r="484" spans="1:34" ht="12.75" customHeight="1">
      <c r="A484" s="815"/>
      <c r="B484" s="998"/>
      <c r="C484" s="999"/>
      <c r="D484" s="999"/>
      <c r="E484" s="999"/>
      <c r="F484" s="999"/>
      <c r="G484" s="999"/>
      <c r="H484" s="1000"/>
      <c r="I484" s="838"/>
      <c r="J484" s="838"/>
      <c r="K484" s="838"/>
      <c r="L484" s="838"/>
      <c r="M484" s="838"/>
      <c r="N484" s="839"/>
      <c r="O484" s="839"/>
      <c r="P484" s="839"/>
      <c r="Q484" s="839"/>
      <c r="R484" s="839"/>
      <c r="S484" s="839"/>
      <c r="T484" s="839"/>
      <c r="U484" s="839"/>
      <c r="V484" s="839"/>
      <c r="W484" s="839"/>
      <c r="X484" s="445"/>
      <c r="Y484" s="267">
        <f>SUM(N483:W484)</f>
        <v>0</v>
      </c>
      <c r="Z484" s="253">
        <v>100</v>
      </c>
      <c r="AA484" s="1024"/>
      <c r="AE484" s="1021"/>
      <c r="AF484" s="1021"/>
      <c r="AH484" s="367"/>
    </row>
    <row r="485" spans="24:34" ht="6.75" customHeight="1">
      <c r="X485" s="445"/>
      <c r="AA485" s="200"/>
      <c r="AB485" s="200"/>
      <c r="AC485" s="200"/>
      <c r="AH485" s="367"/>
    </row>
    <row r="486" spans="1:34" ht="14.25">
      <c r="A486" s="263" t="s">
        <v>241</v>
      </c>
      <c r="B486" s="198" t="s">
        <v>242</v>
      </c>
      <c r="X486" s="445"/>
      <c r="AA486" s="200"/>
      <c r="AB486" s="200"/>
      <c r="AC486" s="200"/>
      <c r="AH486" s="367"/>
    </row>
    <row r="487" spans="1:34" ht="12.75" customHeight="1">
      <c r="A487" s="794" t="s">
        <v>203</v>
      </c>
      <c r="B487" s="1012" t="s">
        <v>204</v>
      </c>
      <c r="C487" s="1012"/>
      <c r="D487" s="1012"/>
      <c r="E487" s="1012"/>
      <c r="F487" s="801" t="s">
        <v>205</v>
      </c>
      <c r="G487" s="802"/>
      <c r="H487" s="802"/>
      <c r="I487" s="802"/>
      <c r="J487" s="802"/>
      <c r="K487" s="802"/>
      <c r="L487" s="802"/>
      <c r="M487" s="802"/>
      <c r="N487" s="802"/>
      <c r="O487" s="802"/>
      <c r="P487" s="802"/>
      <c r="Q487" s="802"/>
      <c r="R487" s="802"/>
      <c r="S487" s="802"/>
      <c r="T487" s="802"/>
      <c r="U487" s="802"/>
      <c r="V487" s="802"/>
      <c r="W487" s="803"/>
      <c r="X487" s="445"/>
      <c r="AA487" s="200"/>
      <c r="AH487" s="367"/>
    </row>
    <row r="488" spans="1:34" ht="12.75" customHeight="1">
      <c r="A488" s="795"/>
      <c r="B488" s="1012"/>
      <c r="C488" s="1012"/>
      <c r="D488" s="1012"/>
      <c r="E488" s="1012"/>
      <c r="F488" s="804" t="s">
        <v>206</v>
      </c>
      <c r="G488" s="805"/>
      <c r="H488" s="805"/>
      <c r="I488" s="805"/>
      <c r="J488" s="805"/>
      <c r="K488" s="805"/>
      <c r="L488" s="805"/>
      <c r="M488" s="805"/>
      <c r="N488" s="805"/>
      <c r="O488" s="805"/>
      <c r="P488" s="805"/>
      <c r="Q488" s="805"/>
      <c r="R488" s="805"/>
      <c r="S488" s="805"/>
      <c r="T488" s="805"/>
      <c r="U488" s="805"/>
      <c r="V488" s="805"/>
      <c r="W488" s="806"/>
      <c r="X488" s="445"/>
      <c r="AA488" s="200"/>
      <c r="AH488" s="367"/>
    </row>
    <row r="489" spans="1:34" ht="15" customHeight="1">
      <c r="A489" s="796"/>
      <c r="B489" s="1012"/>
      <c r="C489" s="1012"/>
      <c r="D489" s="1012"/>
      <c r="E489" s="1012"/>
      <c r="F489" s="949">
        <v>0</v>
      </c>
      <c r="G489" s="950"/>
      <c r="H489" s="949">
        <v>10</v>
      </c>
      <c r="I489" s="950"/>
      <c r="J489" s="951"/>
      <c r="K489" s="949" t="s">
        <v>213</v>
      </c>
      <c r="L489" s="950"/>
      <c r="M489" s="950"/>
      <c r="N489" s="950"/>
      <c r="O489" s="951"/>
      <c r="P489" s="1106" t="s">
        <v>214</v>
      </c>
      <c r="Q489" s="1107"/>
      <c r="R489" s="1107"/>
      <c r="S489" s="1107"/>
      <c r="T489" s="1108"/>
      <c r="U489" s="949">
        <v>10</v>
      </c>
      <c r="V489" s="950"/>
      <c r="W489" s="951"/>
      <c r="X489" s="445"/>
      <c r="AA489" s="200"/>
      <c r="AH489" s="367"/>
    </row>
    <row r="490" spans="1:34" ht="12.75" customHeight="1">
      <c r="A490" s="813" t="s">
        <v>243</v>
      </c>
      <c r="B490" s="816" t="s">
        <v>434</v>
      </c>
      <c r="C490" s="817"/>
      <c r="D490" s="817"/>
      <c r="E490" s="818"/>
      <c r="F490" s="892" t="s">
        <v>244</v>
      </c>
      <c r="G490" s="893"/>
      <c r="H490" s="825" t="s">
        <v>432</v>
      </c>
      <c r="I490" s="826"/>
      <c r="J490" s="827"/>
      <c r="K490" s="828" t="s">
        <v>305</v>
      </c>
      <c r="L490" s="829"/>
      <c r="M490" s="829"/>
      <c r="N490" s="829"/>
      <c r="O490" s="830"/>
      <c r="P490" s="825" t="s">
        <v>357</v>
      </c>
      <c r="Q490" s="826"/>
      <c r="R490" s="826"/>
      <c r="S490" s="826"/>
      <c r="T490" s="827"/>
      <c r="U490" s="825" t="s">
        <v>433</v>
      </c>
      <c r="V490" s="826"/>
      <c r="W490" s="827"/>
      <c r="X490" s="445"/>
      <c r="Y490" s="12"/>
      <c r="AA490" s="12"/>
      <c r="AH490" s="367"/>
    </row>
    <row r="491" spans="1:34" ht="12.75" customHeight="1">
      <c r="A491" s="814"/>
      <c r="B491" s="819"/>
      <c r="C491" s="820"/>
      <c r="D491" s="820"/>
      <c r="E491" s="821"/>
      <c r="F491" s="895"/>
      <c r="G491" s="896"/>
      <c r="H491" s="828"/>
      <c r="I491" s="829"/>
      <c r="J491" s="830"/>
      <c r="K491" s="828"/>
      <c r="L491" s="829"/>
      <c r="M491" s="829"/>
      <c r="N491" s="829"/>
      <c r="O491" s="830"/>
      <c r="P491" s="828"/>
      <c r="Q491" s="829"/>
      <c r="R491" s="829"/>
      <c r="S491" s="829"/>
      <c r="T491" s="830"/>
      <c r="U491" s="828"/>
      <c r="V491" s="829"/>
      <c r="W491" s="830"/>
      <c r="X491" s="445"/>
      <c r="Y491" s="12"/>
      <c r="AA491" s="12"/>
      <c r="AH491" s="367"/>
    </row>
    <row r="492" spans="1:34" ht="5.25" customHeight="1">
      <c r="A492" s="814"/>
      <c r="B492" s="819"/>
      <c r="C492" s="820"/>
      <c r="D492" s="820"/>
      <c r="E492" s="821"/>
      <c r="F492" s="895"/>
      <c r="G492" s="896"/>
      <c r="H492" s="828"/>
      <c r="I492" s="829"/>
      <c r="J492" s="830"/>
      <c r="K492" s="828"/>
      <c r="L492" s="829"/>
      <c r="M492" s="829"/>
      <c r="N492" s="829"/>
      <c r="O492" s="830"/>
      <c r="P492" s="828"/>
      <c r="Q492" s="829"/>
      <c r="R492" s="829"/>
      <c r="S492" s="829"/>
      <c r="T492" s="830"/>
      <c r="U492" s="1068"/>
      <c r="V492" s="1069"/>
      <c r="W492" s="1070"/>
      <c r="X492" s="445"/>
      <c r="Y492" s="12"/>
      <c r="AA492" s="12"/>
      <c r="AH492" s="367"/>
    </row>
    <row r="493" spans="1:34" ht="12.75">
      <c r="A493" s="814"/>
      <c r="B493" s="819"/>
      <c r="C493" s="820"/>
      <c r="D493" s="820"/>
      <c r="E493" s="821"/>
      <c r="F493" s="397"/>
      <c r="G493" s="398"/>
      <c r="H493" s="1004"/>
      <c r="I493" s="1005"/>
      <c r="J493" s="1006"/>
      <c r="K493" s="1004" t="s">
        <v>462</v>
      </c>
      <c r="L493" s="1005"/>
      <c r="M493" s="1005"/>
      <c r="N493" s="1005"/>
      <c r="O493" s="1006"/>
      <c r="P493" s="1004" t="s">
        <v>463</v>
      </c>
      <c r="Q493" s="1005"/>
      <c r="R493" s="1005"/>
      <c r="S493" s="1005"/>
      <c r="T493" s="1006"/>
      <c r="U493" s="1068"/>
      <c r="V493" s="1069"/>
      <c r="W493" s="1070"/>
      <c r="X493" s="445"/>
      <c r="Y493" s="12"/>
      <c r="AH493" s="367"/>
    </row>
    <row r="494" spans="1:34" ht="12.75" customHeight="1">
      <c r="A494" s="814"/>
      <c r="B494" s="819"/>
      <c r="C494" s="820"/>
      <c r="D494" s="820"/>
      <c r="E494" s="821"/>
      <c r="F494" s="397"/>
      <c r="G494" s="398"/>
      <c r="H494" s="1004"/>
      <c r="I494" s="1005"/>
      <c r="J494" s="1006"/>
      <c r="K494" s="1004"/>
      <c r="L494" s="1005"/>
      <c r="M494" s="1005"/>
      <c r="N494" s="1005"/>
      <c r="O494" s="1006"/>
      <c r="P494" s="1004"/>
      <c r="Q494" s="1005"/>
      <c r="R494" s="1005"/>
      <c r="S494" s="1005"/>
      <c r="T494" s="1006"/>
      <c r="U494" s="1068"/>
      <c r="V494" s="1069"/>
      <c r="W494" s="1070"/>
      <c r="X494" s="445"/>
      <c r="Y494" s="12"/>
      <c r="AH494" s="367"/>
    </row>
    <row r="495" spans="1:34" ht="12.75" customHeight="1">
      <c r="A495" s="814"/>
      <c r="B495" s="819"/>
      <c r="C495" s="820"/>
      <c r="D495" s="820"/>
      <c r="E495" s="821"/>
      <c r="F495" s="397"/>
      <c r="G495" s="398"/>
      <c r="H495" s="1004"/>
      <c r="I495" s="1005"/>
      <c r="J495" s="1006"/>
      <c r="K495" s="1100" t="s">
        <v>430</v>
      </c>
      <c r="L495" s="1101"/>
      <c r="M495" s="1101"/>
      <c r="N495" s="1101"/>
      <c r="O495" s="1102"/>
      <c r="P495" s="1100" t="s">
        <v>431</v>
      </c>
      <c r="Q495" s="1101"/>
      <c r="R495" s="1101"/>
      <c r="S495" s="1101"/>
      <c r="T495" s="1102"/>
      <c r="U495" s="1068"/>
      <c r="V495" s="1069"/>
      <c r="W495" s="1070"/>
      <c r="X495" s="445"/>
      <c r="Y495" s="12"/>
      <c r="AH495" s="367"/>
    </row>
    <row r="496" spans="1:34" ht="12.75" customHeight="1">
      <c r="A496" s="814"/>
      <c r="B496" s="819"/>
      <c r="C496" s="820"/>
      <c r="D496" s="820"/>
      <c r="E496" s="821"/>
      <c r="F496" s="399"/>
      <c r="G496" s="400"/>
      <c r="H496" s="1097"/>
      <c r="I496" s="1098"/>
      <c r="J496" s="1099"/>
      <c r="K496" s="1103"/>
      <c r="L496" s="1104"/>
      <c r="M496" s="1104"/>
      <c r="N496" s="1104"/>
      <c r="O496" s="1105"/>
      <c r="P496" s="1103"/>
      <c r="Q496" s="1104"/>
      <c r="R496" s="1104"/>
      <c r="S496" s="1104"/>
      <c r="T496" s="1105"/>
      <c r="U496" s="1071"/>
      <c r="V496" s="1072"/>
      <c r="W496" s="1073"/>
      <c r="X496" s="445"/>
      <c r="Y496" s="12"/>
      <c r="AH496" s="367"/>
    </row>
    <row r="497" spans="1:34" ht="12.75" customHeight="1">
      <c r="A497" s="814"/>
      <c r="B497" s="1034" t="str">
        <f>B411</f>
        <v>(далее – Прил. № 4)</v>
      </c>
      <c r="C497" s="1035"/>
      <c r="D497" s="1035"/>
      <c r="E497" s="1036"/>
      <c r="F497" s="913">
        <f>IF(Y498=0,IF(FIO="","",0),"")</f>
      </c>
      <c r="G497" s="834"/>
      <c r="H497" s="919"/>
      <c r="I497" s="920"/>
      <c r="J497" s="921"/>
      <c r="K497" s="1065"/>
      <c r="L497" s="1066"/>
      <c r="M497" s="1066"/>
      <c r="N497" s="1066"/>
      <c r="O497" s="1067"/>
      <c r="P497" s="1065"/>
      <c r="Q497" s="1066"/>
      <c r="R497" s="1066"/>
      <c r="S497" s="1066"/>
      <c r="T497" s="1067"/>
      <c r="U497" s="919"/>
      <c r="V497" s="920"/>
      <c r="W497" s="921"/>
      <c r="X497" s="445"/>
      <c r="Z497" s="251" t="s">
        <v>208</v>
      </c>
      <c r="AA497" s="252" t="s">
        <v>278</v>
      </c>
      <c r="AE497" s="285" t="s">
        <v>3</v>
      </c>
      <c r="AF497" s="286" t="s">
        <v>2</v>
      </c>
      <c r="AH497" s="367"/>
    </row>
    <row r="498" spans="1:34" ht="12.75" customHeight="1">
      <c r="A498" s="815"/>
      <c r="B498" s="998"/>
      <c r="C498" s="999"/>
      <c r="D498" s="999"/>
      <c r="E498" s="1000"/>
      <c r="F498" s="948"/>
      <c r="G498" s="836"/>
      <c r="H498" s="922"/>
      <c r="I498" s="923"/>
      <c r="J498" s="924"/>
      <c r="K498" s="922"/>
      <c r="L498" s="923"/>
      <c r="M498" s="923"/>
      <c r="N498" s="923"/>
      <c r="O498" s="924"/>
      <c r="P498" s="922"/>
      <c r="Q498" s="923"/>
      <c r="R498" s="923"/>
      <c r="S498" s="923"/>
      <c r="T498" s="924"/>
      <c r="U498" s="922"/>
      <c r="V498" s="923"/>
      <c r="W498" s="924"/>
      <c r="X498" s="445"/>
      <c r="Y498" s="267">
        <f>MAX(H497:W498)</f>
        <v>0</v>
      </c>
      <c r="Z498" s="253">
        <v>60</v>
      </c>
      <c r="AA498" s="270">
        <f>IF(z_kateg="высшая",AE498,AF498)</f>
        <v>10</v>
      </c>
      <c r="AE498" s="283">
        <v>30</v>
      </c>
      <c r="AF498" s="284">
        <v>10</v>
      </c>
      <c r="AH498" s="367"/>
    </row>
    <row r="499" spans="24:34" ht="6.75" customHeight="1">
      <c r="X499" s="445"/>
      <c r="AA499" s="200"/>
      <c r="AB499" s="200"/>
      <c r="AC499" s="200"/>
      <c r="AH499" s="367"/>
    </row>
    <row r="500" spans="1:34" ht="14.25">
      <c r="A500" s="263" t="s">
        <v>245</v>
      </c>
      <c r="B500" s="198" t="s">
        <v>246</v>
      </c>
      <c r="X500" s="445"/>
      <c r="AA500" s="200"/>
      <c r="AB500" s="200"/>
      <c r="AC500" s="200"/>
      <c r="AH500" s="367"/>
    </row>
    <row r="501" spans="1:34" ht="14.25">
      <c r="A501" s="794" t="s">
        <v>203</v>
      </c>
      <c r="B501" s="797" t="s">
        <v>204</v>
      </c>
      <c r="C501" s="798"/>
      <c r="D501" s="798"/>
      <c r="E501" s="798"/>
      <c r="F501" s="798"/>
      <c r="G501" s="798"/>
      <c r="H501" s="798"/>
      <c r="I501" s="798"/>
      <c r="J501" s="798"/>
      <c r="K501" s="883"/>
      <c r="L501" s="801" t="s">
        <v>205</v>
      </c>
      <c r="M501" s="802"/>
      <c r="N501" s="802"/>
      <c r="O501" s="802"/>
      <c r="P501" s="802"/>
      <c r="Q501" s="802"/>
      <c r="R501" s="802"/>
      <c r="S501" s="802"/>
      <c r="T501" s="802"/>
      <c r="U501" s="802"/>
      <c r="V501" s="802"/>
      <c r="W501" s="803"/>
      <c r="X501" s="445"/>
      <c r="AH501" s="367"/>
    </row>
    <row r="502" spans="1:34" ht="14.25" customHeight="1">
      <c r="A502" s="795"/>
      <c r="B502" s="799"/>
      <c r="C502" s="800"/>
      <c r="D502" s="800"/>
      <c r="E502" s="800"/>
      <c r="F502" s="800"/>
      <c r="G502" s="800"/>
      <c r="H502" s="800"/>
      <c r="I502" s="800"/>
      <c r="J502" s="800"/>
      <c r="K502" s="884"/>
      <c r="L502" s="804" t="s">
        <v>206</v>
      </c>
      <c r="M502" s="805"/>
      <c r="N502" s="805"/>
      <c r="O502" s="805"/>
      <c r="P502" s="805"/>
      <c r="Q502" s="805"/>
      <c r="R502" s="805"/>
      <c r="S502" s="805"/>
      <c r="T502" s="805"/>
      <c r="U502" s="805"/>
      <c r="V502" s="805"/>
      <c r="W502" s="806"/>
      <c r="X502" s="445"/>
      <c r="AH502" s="367"/>
    </row>
    <row r="503" spans="1:34" ht="14.25" customHeight="1">
      <c r="A503" s="796"/>
      <c r="B503" s="846"/>
      <c r="C503" s="847"/>
      <c r="D503" s="847"/>
      <c r="E503" s="847"/>
      <c r="F503" s="847"/>
      <c r="G503" s="847"/>
      <c r="H503" s="847"/>
      <c r="I503" s="847"/>
      <c r="J503" s="847"/>
      <c r="K503" s="885"/>
      <c r="L503" s="949">
        <v>0</v>
      </c>
      <c r="M503" s="950"/>
      <c r="N503" s="950"/>
      <c r="O503" s="951"/>
      <c r="P503" s="949">
        <v>20</v>
      </c>
      <c r="Q503" s="950"/>
      <c r="R503" s="950"/>
      <c r="S503" s="951"/>
      <c r="T503" s="807">
        <v>30</v>
      </c>
      <c r="U503" s="808"/>
      <c r="V503" s="808"/>
      <c r="W503" s="809"/>
      <c r="X503" s="445"/>
      <c r="AH503" s="367"/>
    </row>
    <row r="504" spans="1:34" ht="12.75" customHeight="1">
      <c r="A504" s="249" t="s">
        <v>247</v>
      </c>
      <c r="B504" s="816" t="s">
        <v>633</v>
      </c>
      <c r="C504" s="817"/>
      <c r="D504" s="817"/>
      <c r="E504" s="817"/>
      <c r="F504" s="817"/>
      <c r="G504" s="817"/>
      <c r="H504" s="817"/>
      <c r="I504" s="817"/>
      <c r="J504" s="817"/>
      <c r="K504" s="818"/>
      <c r="L504" s="952" t="s">
        <v>360</v>
      </c>
      <c r="M504" s="953"/>
      <c r="N504" s="953"/>
      <c r="O504" s="954"/>
      <c r="P504" s="825" t="s">
        <v>361</v>
      </c>
      <c r="Q504" s="826"/>
      <c r="R504" s="826"/>
      <c r="S504" s="827"/>
      <c r="T504" s="825" t="s">
        <v>437</v>
      </c>
      <c r="U504" s="826"/>
      <c r="V504" s="826"/>
      <c r="W504" s="827"/>
      <c r="X504" s="445"/>
      <c r="Y504" s="12"/>
      <c r="AA504" s="12"/>
      <c r="AB504" s="12"/>
      <c r="AC504" s="12"/>
      <c r="AH504" s="367"/>
    </row>
    <row r="505" spans="1:34" ht="12.75" customHeight="1">
      <c r="A505" s="296"/>
      <c r="B505" s="819"/>
      <c r="C505" s="820"/>
      <c r="D505" s="820"/>
      <c r="E505" s="820"/>
      <c r="F505" s="820"/>
      <c r="G505" s="820"/>
      <c r="H505" s="820"/>
      <c r="I505" s="820"/>
      <c r="J505" s="820"/>
      <c r="K505" s="821"/>
      <c r="L505" s="955"/>
      <c r="M505" s="956"/>
      <c r="N505" s="956"/>
      <c r="O505" s="957"/>
      <c r="P505" s="828"/>
      <c r="Q505" s="829"/>
      <c r="R505" s="829"/>
      <c r="S505" s="830"/>
      <c r="T505" s="828"/>
      <c r="U505" s="829"/>
      <c r="V505" s="829"/>
      <c r="W505" s="830"/>
      <c r="X505" s="445"/>
      <c r="Y505" s="12"/>
      <c r="AA505" s="12"/>
      <c r="AB505" s="12"/>
      <c r="AC505" s="12"/>
      <c r="AH505" s="367"/>
    </row>
    <row r="506" spans="1:34" ht="5.25" customHeight="1">
      <c r="A506" s="275"/>
      <c r="B506" s="819"/>
      <c r="C506" s="820"/>
      <c r="D506" s="820"/>
      <c r="E506" s="820"/>
      <c r="F506" s="820"/>
      <c r="G506" s="820"/>
      <c r="H506" s="820"/>
      <c r="I506" s="820"/>
      <c r="J506" s="820"/>
      <c r="K506" s="821"/>
      <c r="L506" s="955"/>
      <c r="M506" s="956"/>
      <c r="N506" s="956"/>
      <c r="O506" s="957"/>
      <c r="P506" s="828"/>
      <c r="Q506" s="829"/>
      <c r="R506" s="829"/>
      <c r="S506" s="830"/>
      <c r="T506" s="828"/>
      <c r="U506" s="829"/>
      <c r="V506" s="829"/>
      <c r="W506" s="830"/>
      <c r="X506" s="445"/>
      <c r="Y506" s="12"/>
      <c r="AA506" s="12"/>
      <c r="AB506" s="12"/>
      <c r="AC506" s="12"/>
      <c r="AH506" s="367"/>
    </row>
    <row r="507" spans="1:34" ht="14.25" customHeight="1">
      <c r="A507" s="276"/>
      <c r="B507" s="886" t="s">
        <v>312</v>
      </c>
      <c r="C507" s="887"/>
      <c r="D507" s="887"/>
      <c r="E507" s="887"/>
      <c r="F507" s="887"/>
      <c r="G507" s="887"/>
      <c r="H507" s="887"/>
      <c r="I507" s="887"/>
      <c r="J507" s="887"/>
      <c r="K507" s="888"/>
      <c r="L507" s="955"/>
      <c r="M507" s="956"/>
      <c r="N507" s="956"/>
      <c r="O507" s="957"/>
      <c r="P507" s="828"/>
      <c r="Q507" s="829"/>
      <c r="R507" s="829"/>
      <c r="S507" s="830"/>
      <c r="T507" s="828"/>
      <c r="U507" s="829"/>
      <c r="V507" s="829"/>
      <c r="W507" s="830"/>
      <c r="X507" s="445"/>
      <c r="Y507" s="12"/>
      <c r="AA507" s="12"/>
      <c r="AB507" s="12"/>
      <c r="AC507" s="12"/>
      <c r="AH507" s="367"/>
    </row>
    <row r="508" spans="1:34" ht="12.75" customHeight="1">
      <c r="A508" s="275"/>
      <c r="B508" s="840" t="s">
        <v>359</v>
      </c>
      <c r="C508" s="841"/>
      <c r="D508" s="841"/>
      <c r="E508" s="841"/>
      <c r="F508" s="841"/>
      <c r="G508" s="841"/>
      <c r="H508" s="841"/>
      <c r="I508" s="841"/>
      <c r="J508" s="841"/>
      <c r="K508" s="842"/>
      <c r="L508" s="955"/>
      <c r="M508" s="956"/>
      <c r="N508" s="956"/>
      <c r="O508" s="957"/>
      <c r="P508" s="828"/>
      <c r="Q508" s="829"/>
      <c r="R508" s="829"/>
      <c r="S508" s="830"/>
      <c r="T508" s="828"/>
      <c r="U508" s="829"/>
      <c r="V508" s="829"/>
      <c r="W508" s="830"/>
      <c r="X508" s="445"/>
      <c r="Y508" s="12"/>
      <c r="AH508" s="367"/>
    </row>
    <row r="509" spans="1:34" ht="12.75">
      <c r="A509" s="291"/>
      <c r="B509" s="840"/>
      <c r="C509" s="841"/>
      <c r="D509" s="841"/>
      <c r="E509" s="841"/>
      <c r="F509" s="841"/>
      <c r="G509" s="841"/>
      <c r="H509" s="841"/>
      <c r="I509" s="841"/>
      <c r="J509" s="841"/>
      <c r="K509" s="842"/>
      <c r="L509" s="913">
        <f>IF(Y510=0,IF(FIO="","",0),"")</f>
      </c>
      <c r="M509" s="834"/>
      <c r="N509" s="834"/>
      <c r="O509" s="835"/>
      <c r="P509" s="839"/>
      <c r="Q509" s="839"/>
      <c r="R509" s="839"/>
      <c r="S509" s="839"/>
      <c r="T509" s="839"/>
      <c r="U509" s="839"/>
      <c r="V509" s="839"/>
      <c r="W509" s="839"/>
      <c r="X509" s="445"/>
      <c r="Z509" s="251" t="s">
        <v>208</v>
      </c>
      <c r="AA509" s="252" t="s">
        <v>278</v>
      </c>
      <c r="AE509" s="285" t="s">
        <v>3</v>
      </c>
      <c r="AF509" s="286" t="s">
        <v>2</v>
      </c>
      <c r="AH509" s="367"/>
    </row>
    <row r="510" spans="1:34" ht="12.75">
      <c r="A510" s="292"/>
      <c r="B510" s="843"/>
      <c r="C510" s="844"/>
      <c r="D510" s="844"/>
      <c r="E510" s="844"/>
      <c r="F510" s="844"/>
      <c r="G510" s="844"/>
      <c r="H510" s="844"/>
      <c r="I510" s="844"/>
      <c r="J510" s="844"/>
      <c r="K510" s="845"/>
      <c r="L510" s="948"/>
      <c r="M510" s="836"/>
      <c r="N510" s="836"/>
      <c r="O510" s="837"/>
      <c r="P510" s="839"/>
      <c r="Q510" s="839"/>
      <c r="R510" s="839"/>
      <c r="S510" s="839"/>
      <c r="T510" s="839"/>
      <c r="U510" s="839"/>
      <c r="V510" s="839"/>
      <c r="W510" s="839"/>
      <c r="X510" s="445"/>
      <c r="Y510" s="267">
        <f>MAX(P509:W510)</f>
        <v>0</v>
      </c>
      <c r="Z510" s="253">
        <v>30</v>
      </c>
      <c r="AA510" s="270">
        <f>IF(z_kateg="высшая",AE510,AF510)</f>
        <v>0</v>
      </c>
      <c r="AE510" s="283">
        <v>0</v>
      </c>
      <c r="AF510" s="284">
        <v>0</v>
      </c>
      <c r="AH510" s="367"/>
    </row>
    <row r="511" spans="1:34" ht="14.25">
      <c r="A511" s="794" t="s">
        <v>203</v>
      </c>
      <c r="B511" s="797" t="s">
        <v>204</v>
      </c>
      <c r="C511" s="798"/>
      <c r="D511" s="798"/>
      <c r="E511" s="798"/>
      <c r="F511" s="798"/>
      <c r="G511" s="798"/>
      <c r="H511" s="798"/>
      <c r="I511" s="798"/>
      <c r="J511" s="798"/>
      <c r="K511" s="883"/>
      <c r="L511" s="801" t="s">
        <v>205</v>
      </c>
      <c r="M511" s="802"/>
      <c r="N511" s="802"/>
      <c r="O511" s="802"/>
      <c r="P511" s="802"/>
      <c r="Q511" s="802"/>
      <c r="R511" s="802"/>
      <c r="S511" s="802"/>
      <c r="T511" s="802"/>
      <c r="U511" s="802"/>
      <c r="V511" s="802"/>
      <c r="W511" s="803"/>
      <c r="X511" s="445"/>
      <c r="AH511" s="367"/>
    </row>
    <row r="512" spans="1:34" ht="14.25" customHeight="1">
      <c r="A512" s="795"/>
      <c r="B512" s="799"/>
      <c r="C512" s="800"/>
      <c r="D512" s="800"/>
      <c r="E512" s="800"/>
      <c r="F512" s="800"/>
      <c r="G512" s="800"/>
      <c r="H512" s="800"/>
      <c r="I512" s="800"/>
      <c r="J512" s="800"/>
      <c r="K512" s="884"/>
      <c r="L512" s="804" t="s">
        <v>206</v>
      </c>
      <c r="M512" s="805"/>
      <c r="N512" s="805"/>
      <c r="O512" s="805"/>
      <c r="P512" s="805"/>
      <c r="Q512" s="805"/>
      <c r="R512" s="805"/>
      <c r="S512" s="805"/>
      <c r="T512" s="805"/>
      <c r="U512" s="805"/>
      <c r="V512" s="805"/>
      <c r="W512" s="806"/>
      <c r="X512" s="445"/>
      <c r="AH512" s="367"/>
    </row>
    <row r="513" spans="1:34" ht="14.25" customHeight="1">
      <c r="A513" s="796"/>
      <c r="B513" s="846"/>
      <c r="C513" s="847"/>
      <c r="D513" s="847"/>
      <c r="E513" s="847"/>
      <c r="F513" s="847"/>
      <c r="G513" s="847"/>
      <c r="H513" s="847"/>
      <c r="I513" s="847"/>
      <c r="J513" s="847"/>
      <c r="K513" s="885"/>
      <c r="L513" s="949">
        <v>0</v>
      </c>
      <c r="M513" s="950"/>
      <c r="N513" s="950"/>
      <c r="O513" s="951"/>
      <c r="P513" s="949">
        <v>30</v>
      </c>
      <c r="Q513" s="950"/>
      <c r="R513" s="950"/>
      <c r="S513" s="951"/>
      <c r="T513" s="807">
        <v>50</v>
      </c>
      <c r="U513" s="808"/>
      <c r="V513" s="808"/>
      <c r="W513" s="809"/>
      <c r="X513" s="445"/>
      <c r="AH513" s="367"/>
    </row>
    <row r="514" spans="1:34" ht="12.75" customHeight="1">
      <c r="A514" s="249" t="s">
        <v>248</v>
      </c>
      <c r="B514" s="816" t="s">
        <v>358</v>
      </c>
      <c r="C514" s="817"/>
      <c r="D514" s="817"/>
      <c r="E514" s="817"/>
      <c r="F514" s="817"/>
      <c r="G514" s="817"/>
      <c r="H514" s="817"/>
      <c r="I514" s="817"/>
      <c r="J514" s="817"/>
      <c r="K514" s="818"/>
      <c r="L514" s="952" t="s">
        <v>300</v>
      </c>
      <c r="M514" s="953"/>
      <c r="N514" s="953"/>
      <c r="O514" s="954"/>
      <c r="P514" s="825" t="s">
        <v>249</v>
      </c>
      <c r="Q514" s="826"/>
      <c r="R514" s="826"/>
      <c r="S514" s="827"/>
      <c r="T514" s="825" t="s">
        <v>250</v>
      </c>
      <c r="U514" s="826"/>
      <c r="V514" s="826"/>
      <c r="W514" s="827"/>
      <c r="X514" s="445"/>
      <c r="Y514" s="12"/>
      <c r="AA514" s="12"/>
      <c r="AB514" s="12"/>
      <c r="AC514" s="12"/>
      <c r="AH514" s="367"/>
    </row>
    <row r="515" spans="1:34" ht="9.75" customHeight="1">
      <c r="A515" s="275"/>
      <c r="B515" s="819"/>
      <c r="C515" s="820"/>
      <c r="D515" s="820"/>
      <c r="E515" s="820"/>
      <c r="F515" s="820"/>
      <c r="G515" s="820"/>
      <c r="H515" s="820"/>
      <c r="I515" s="820"/>
      <c r="J515" s="820"/>
      <c r="K515" s="821"/>
      <c r="L515" s="955"/>
      <c r="M515" s="956"/>
      <c r="N515" s="956"/>
      <c r="O515" s="957"/>
      <c r="P515" s="828"/>
      <c r="Q515" s="829"/>
      <c r="R515" s="829"/>
      <c r="S515" s="830"/>
      <c r="T515" s="828"/>
      <c r="U515" s="829"/>
      <c r="V515" s="829"/>
      <c r="W515" s="830"/>
      <c r="X515" s="445"/>
      <c r="Y515" s="12"/>
      <c r="AA515" s="12"/>
      <c r="AB515" s="12"/>
      <c r="AC515" s="12"/>
      <c r="AH515" s="367"/>
    </row>
    <row r="516" spans="1:34" ht="14.25" customHeight="1">
      <c r="A516" s="276"/>
      <c r="B516" s="886" t="s">
        <v>312</v>
      </c>
      <c r="C516" s="887"/>
      <c r="D516" s="887"/>
      <c r="E516" s="887"/>
      <c r="F516" s="887"/>
      <c r="G516" s="887"/>
      <c r="H516" s="887"/>
      <c r="I516" s="887"/>
      <c r="J516" s="887"/>
      <c r="K516" s="888"/>
      <c r="L516" s="955"/>
      <c r="M516" s="956"/>
      <c r="N516" s="956"/>
      <c r="O516" s="957"/>
      <c r="P516" s="828"/>
      <c r="Q516" s="829"/>
      <c r="R516" s="829"/>
      <c r="S516" s="830"/>
      <c r="T516" s="828"/>
      <c r="U516" s="829"/>
      <c r="V516" s="829"/>
      <c r="W516" s="830"/>
      <c r="X516" s="445"/>
      <c r="Y516" s="12"/>
      <c r="AA516" s="12"/>
      <c r="AB516" s="12"/>
      <c r="AC516" s="12"/>
      <c r="AH516" s="367"/>
    </row>
    <row r="517" spans="1:34" ht="12.75" customHeight="1">
      <c r="A517" s="275"/>
      <c r="B517" s="840" t="s">
        <v>306</v>
      </c>
      <c r="C517" s="841"/>
      <c r="D517" s="841"/>
      <c r="E517" s="841"/>
      <c r="F517" s="841"/>
      <c r="G517" s="841"/>
      <c r="H517" s="841"/>
      <c r="I517" s="841"/>
      <c r="J517" s="841"/>
      <c r="K517" s="842"/>
      <c r="L517" s="955"/>
      <c r="M517" s="956"/>
      <c r="N517" s="956"/>
      <c r="O517" s="957"/>
      <c r="P517" s="828"/>
      <c r="Q517" s="829"/>
      <c r="R517" s="829"/>
      <c r="S517" s="830"/>
      <c r="T517" s="828"/>
      <c r="U517" s="829"/>
      <c r="V517" s="829"/>
      <c r="W517" s="830"/>
      <c r="X517" s="445"/>
      <c r="Y517" s="12"/>
      <c r="AH517" s="367"/>
    </row>
    <row r="518" spans="1:34" ht="4.5" customHeight="1">
      <c r="A518" s="276"/>
      <c r="B518" s="840"/>
      <c r="C518" s="841"/>
      <c r="D518" s="841"/>
      <c r="E518" s="841"/>
      <c r="F518" s="841"/>
      <c r="G518" s="841"/>
      <c r="H518" s="841"/>
      <c r="I518" s="841"/>
      <c r="J518" s="841"/>
      <c r="K518" s="842"/>
      <c r="L518" s="1007"/>
      <c r="M518" s="1008"/>
      <c r="N518" s="1008"/>
      <c r="O518" s="1009"/>
      <c r="P518" s="831"/>
      <c r="Q518" s="832"/>
      <c r="R518" s="832"/>
      <c r="S518" s="833"/>
      <c r="T518" s="831"/>
      <c r="U518" s="832"/>
      <c r="V518" s="832"/>
      <c r="W518" s="833"/>
      <c r="X518" s="445"/>
      <c r="Y518" s="12"/>
      <c r="AH518" s="367"/>
    </row>
    <row r="519" spans="1:34" ht="12.75" customHeight="1">
      <c r="A519" s="291"/>
      <c r="B519" s="840"/>
      <c r="C519" s="841"/>
      <c r="D519" s="841"/>
      <c r="E519" s="841"/>
      <c r="F519" s="841"/>
      <c r="G519" s="841"/>
      <c r="H519" s="841"/>
      <c r="I519" s="841"/>
      <c r="J519" s="841"/>
      <c r="K519" s="842"/>
      <c r="L519" s="913">
        <f>IF(Y520=0,IF(FIO="","",0),"")</f>
      </c>
      <c r="M519" s="834"/>
      <c r="N519" s="834"/>
      <c r="O519" s="835"/>
      <c r="P519" s="839"/>
      <c r="Q519" s="839"/>
      <c r="R519" s="839"/>
      <c r="S519" s="839"/>
      <c r="T519" s="839"/>
      <c r="U519" s="839"/>
      <c r="V519" s="839"/>
      <c r="W519" s="839"/>
      <c r="X519" s="445"/>
      <c r="Z519" s="251" t="s">
        <v>208</v>
      </c>
      <c r="AA519" s="252" t="s">
        <v>278</v>
      </c>
      <c r="AE519" s="285" t="s">
        <v>3</v>
      </c>
      <c r="AF519" s="286" t="s">
        <v>2</v>
      </c>
      <c r="AH519" s="367"/>
    </row>
    <row r="520" spans="1:34" ht="12.75" customHeight="1">
      <c r="A520" s="292"/>
      <c r="B520" s="843"/>
      <c r="C520" s="844"/>
      <c r="D520" s="844"/>
      <c r="E520" s="844"/>
      <c r="F520" s="844"/>
      <c r="G520" s="844"/>
      <c r="H520" s="844"/>
      <c r="I520" s="844"/>
      <c r="J520" s="844"/>
      <c r="K520" s="845"/>
      <c r="L520" s="948"/>
      <c r="M520" s="836"/>
      <c r="N520" s="836"/>
      <c r="O520" s="837"/>
      <c r="P520" s="839"/>
      <c r="Q520" s="839"/>
      <c r="R520" s="839"/>
      <c r="S520" s="839"/>
      <c r="T520" s="839"/>
      <c r="U520" s="839"/>
      <c r="V520" s="839"/>
      <c r="W520" s="839"/>
      <c r="X520" s="445"/>
      <c r="Y520" s="267">
        <f>MAX(P519:W520)</f>
        <v>0</v>
      </c>
      <c r="Z520" s="253">
        <v>50</v>
      </c>
      <c r="AA520" s="270">
        <f>IF(z_kateg="высшая",AE520,AF520)</f>
        <v>0</v>
      </c>
      <c r="AE520" s="283">
        <v>0</v>
      </c>
      <c r="AF520" s="284">
        <v>0</v>
      </c>
      <c r="AH520" s="367"/>
    </row>
    <row r="521" spans="1:34" ht="12.75" hidden="1">
      <c r="A521" s="5"/>
      <c r="X521" s="445"/>
      <c r="AH521" s="367"/>
    </row>
    <row r="522" spans="1:45" ht="14.25" customHeight="1" hidden="1">
      <c r="A522" s="367"/>
      <c r="B522" s="368"/>
      <c r="C522" s="368"/>
      <c r="D522" s="368"/>
      <c r="E522" s="368"/>
      <c r="F522" s="368"/>
      <c r="G522" s="368"/>
      <c r="H522" s="368"/>
      <c r="I522" s="368"/>
      <c r="J522" s="368"/>
      <c r="K522" s="368"/>
      <c r="L522" s="368"/>
      <c r="M522" s="368"/>
      <c r="N522" s="368"/>
      <c r="O522" s="368"/>
      <c r="P522" s="368"/>
      <c r="Q522" s="368"/>
      <c r="R522" s="368"/>
      <c r="S522" s="368"/>
      <c r="T522" s="368"/>
      <c r="U522" s="368"/>
      <c r="V522" s="368"/>
      <c r="W522" s="368"/>
      <c r="X522" s="445"/>
      <c r="Y522" s="367"/>
      <c r="Z522" s="367"/>
      <c r="AA522" s="367"/>
      <c r="AB522" s="367"/>
      <c r="AC522" s="367"/>
      <c r="AD522" s="367"/>
      <c r="AE522" s="367"/>
      <c r="AF522" s="367"/>
      <c r="AH522" s="367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</row>
    <row r="523" spans="1:34" ht="12.75">
      <c r="A523" s="278"/>
      <c r="B523" s="12"/>
      <c r="C523" s="12"/>
      <c r="D523" s="12"/>
      <c r="X523" s="445"/>
      <c r="AA523" s="251" t="s">
        <v>279</v>
      </c>
      <c r="AB523" s="251" t="s">
        <v>208</v>
      </c>
      <c r="AC523" s="251" t="s">
        <v>278</v>
      </c>
      <c r="AD523" s="286" t="s">
        <v>3</v>
      </c>
      <c r="AE523" s="286" t="s">
        <v>2</v>
      </c>
      <c r="AF523" s="172" t="s">
        <v>280</v>
      </c>
      <c r="AH523" s="367"/>
    </row>
    <row r="524" spans="1:34" ht="15">
      <c r="A524" s="250" t="s">
        <v>192</v>
      </c>
      <c r="B524" s="1063" t="s">
        <v>269</v>
      </c>
      <c r="C524" s="1063"/>
      <c r="D524" s="1063"/>
      <c r="E524" s="1063"/>
      <c r="F524" s="1063"/>
      <c r="G524" s="1063"/>
      <c r="H524" s="1063"/>
      <c r="I524" s="1063"/>
      <c r="J524" s="1063"/>
      <c r="X524" s="445"/>
      <c r="Y524" s="288" t="str">
        <f>A524</f>
        <v>4.</v>
      </c>
      <c r="Z524" s="271" t="s">
        <v>307</v>
      </c>
      <c r="AA524" s="268">
        <f>IF(Z527="нет",0,SUM(Y525:Y541))</f>
        <v>0</v>
      </c>
      <c r="AB524" s="269">
        <f>SUM(Z525:Z541)</f>
        <v>250</v>
      </c>
      <c r="AC524" s="282">
        <f>IF(G56="высшая",AD524,AE524)</f>
        <v>0</v>
      </c>
      <c r="AD524" s="283">
        <v>130</v>
      </c>
      <c r="AE524" s="284">
        <v>0</v>
      </c>
      <c r="AF524" s="281" t="b">
        <f>итого_4&gt;=AC524</f>
        <v>1</v>
      </c>
      <c r="AH524" s="367"/>
    </row>
    <row r="525" spans="24:34" ht="6.75" customHeight="1">
      <c r="X525" s="445"/>
      <c r="AH525" s="367"/>
    </row>
    <row r="526" spans="1:34" ht="14.25" customHeight="1">
      <c r="A526" s="794" t="s">
        <v>203</v>
      </c>
      <c r="B526" s="1012" t="s">
        <v>204</v>
      </c>
      <c r="C526" s="1012"/>
      <c r="D526" s="1012"/>
      <c r="E526" s="1012"/>
      <c r="F526" s="1012"/>
      <c r="G526" s="1012"/>
      <c r="H526" s="797" t="s">
        <v>205</v>
      </c>
      <c r="I526" s="798"/>
      <c r="J526" s="798"/>
      <c r="K526" s="798"/>
      <c r="L526" s="798"/>
      <c r="M526" s="798"/>
      <c r="N526" s="798"/>
      <c r="O526" s="798"/>
      <c r="P526" s="798"/>
      <c r="Q526" s="798"/>
      <c r="R526" s="798"/>
      <c r="S526" s="798"/>
      <c r="T526" s="798"/>
      <c r="U526" s="798"/>
      <c r="V526" s="798"/>
      <c r="W526" s="883"/>
      <c r="X526" s="445"/>
      <c r="Z526" s="5" t="s">
        <v>347</v>
      </c>
      <c r="AD526" s="354">
        <v>560</v>
      </c>
      <c r="AE526" s="355" t="s">
        <v>440</v>
      </c>
      <c r="AH526" s="367"/>
    </row>
    <row r="527" spans="1:34" ht="13.5" customHeight="1">
      <c r="A527" s="796"/>
      <c r="B527" s="1012"/>
      <c r="C527" s="1012"/>
      <c r="D527" s="1012"/>
      <c r="E527" s="1012"/>
      <c r="F527" s="1012"/>
      <c r="G527" s="1012"/>
      <c r="H527" s="846"/>
      <c r="I527" s="847"/>
      <c r="J527" s="847"/>
      <c r="K527" s="847"/>
      <c r="L527" s="847"/>
      <c r="M527" s="847"/>
      <c r="N527" s="847"/>
      <c r="O527" s="847"/>
      <c r="P527" s="847"/>
      <c r="Q527" s="847"/>
      <c r="R527" s="847"/>
      <c r="S527" s="847"/>
      <c r="T527" s="847"/>
      <c r="U527" s="847"/>
      <c r="V527" s="847"/>
      <c r="W527" s="885"/>
      <c r="X527" s="445"/>
      <c r="Z527" s="266" t="str">
        <f>'общие сведения'!G106</f>
        <v>нет</v>
      </c>
      <c r="AH527" s="367"/>
    </row>
    <row r="528" spans="1:34" ht="13.5" customHeight="1">
      <c r="A528" s="963" t="s">
        <v>270</v>
      </c>
      <c r="B528" s="964" t="s">
        <v>348</v>
      </c>
      <c r="C528" s="964"/>
      <c r="D528" s="964"/>
      <c r="E528" s="964"/>
      <c r="F528" s="964"/>
      <c r="G528" s="964"/>
      <c r="H528" s="848">
        <v>0</v>
      </c>
      <c r="I528" s="848"/>
      <c r="J528" s="848"/>
      <c r="K528" s="848"/>
      <c r="L528" s="848">
        <f>AC529</f>
        <v>50</v>
      </c>
      <c r="M528" s="848"/>
      <c r="N528" s="848"/>
      <c r="O528" s="848"/>
      <c r="P528" s="848">
        <f>AD529</f>
        <v>70</v>
      </c>
      <c r="Q528" s="848"/>
      <c r="R528" s="848"/>
      <c r="S528" s="848"/>
      <c r="T528" s="848">
        <f>AE529</f>
        <v>90</v>
      </c>
      <c r="U528" s="848"/>
      <c r="V528" s="848"/>
      <c r="W528" s="848"/>
      <c r="X528" s="445"/>
      <c r="AH528" s="367"/>
    </row>
    <row r="529" spans="1:34" ht="13.5" customHeight="1">
      <c r="A529" s="963"/>
      <c r="B529" s="964"/>
      <c r="C529" s="964"/>
      <c r="D529" s="964"/>
      <c r="E529" s="964"/>
      <c r="F529" s="964"/>
      <c r="G529" s="964"/>
      <c r="H529" s="965" t="s">
        <v>349</v>
      </c>
      <c r="I529" s="966"/>
      <c r="J529" s="966"/>
      <c r="K529" s="967"/>
      <c r="L529" s="965" t="s">
        <v>350</v>
      </c>
      <c r="M529" s="966"/>
      <c r="N529" s="966"/>
      <c r="O529" s="967"/>
      <c r="P529" s="965" t="s">
        <v>351</v>
      </c>
      <c r="Q529" s="966"/>
      <c r="R529" s="966"/>
      <c r="S529" s="967"/>
      <c r="T529" s="965" t="s">
        <v>352</v>
      </c>
      <c r="U529" s="966"/>
      <c r="V529" s="966"/>
      <c r="W529" s="967"/>
      <c r="X529" s="445"/>
      <c r="Z529" s="251" t="s">
        <v>208</v>
      </c>
      <c r="AA529" s="252" t="s">
        <v>278</v>
      </c>
      <c r="AC529" s="251">
        <v>50</v>
      </c>
      <c r="AD529" s="251">
        <v>70</v>
      </c>
      <c r="AE529" s="251">
        <v>90</v>
      </c>
      <c r="AH529" s="367"/>
    </row>
    <row r="530" spans="1:34" ht="13.5" customHeight="1">
      <c r="A530" s="963"/>
      <c r="B530" s="964"/>
      <c r="C530" s="964"/>
      <c r="D530" s="964"/>
      <c r="E530" s="964"/>
      <c r="F530" s="964"/>
      <c r="G530" s="964"/>
      <c r="H530" s="913" t="str">
        <f>IF(Y530=0,IF(OR(FIO="",Z527="нет"),"-",0),"")</f>
        <v>-</v>
      </c>
      <c r="I530" s="834"/>
      <c r="J530" s="834"/>
      <c r="K530" s="835"/>
      <c r="L530" s="985"/>
      <c r="M530" s="985"/>
      <c r="N530" s="985"/>
      <c r="O530" s="985"/>
      <c r="P530" s="985"/>
      <c r="Q530" s="985"/>
      <c r="R530" s="985"/>
      <c r="S530" s="985"/>
      <c r="T530" s="985"/>
      <c r="U530" s="985"/>
      <c r="V530" s="985"/>
      <c r="W530" s="985"/>
      <c r="X530" s="445"/>
      <c r="Y530" s="267">
        <f>MAX(L530:W531)</f>
        <v>0</v>
      </c>
      <c r="Z530" s="253">
        <v>90</v>
      </c>
      <c r="AA530" s="270">
        <v>50</v>
      </c>
      <c r="AC530" s="190" t="str">
        <f>IF($Z$527="нет","-",AC529)</f>
        <v>-</v>
      </c>
      <c r="AD530" s="190" t="str">
        <f>IF($Z$527="нет","-",AD529)</f>
        <v>-</v>
      </c>
      <c r="AE530" s="190" t="str">
        <f>IF($Z$527="нет","-",AE529)</f>
        <v>-</v>
      </c>
      <c r="AH530" s="367"/>
    </row>
    <row r="531" spans="1:34" ht="13.5" customHeight="1">
      <c r="A531" s="963"/>
      <c r="B531" s="964"/>
      <c r="C531" s="964"/>
      <c r="D531" s="964"/>
      <c r="E531" s="964"/>
      <c r="F531" s="964"/>
      <c r="G531" s="964"/>
      <c r="H531" s="948"/>
      <c r="I531" s="836"/>
      <c r="J531" s="836"/>
      <c r="K531" s="837"/>
      <c r="L531" s="839"/>
      <c r="M531" s="839"/>
      <c r="N531" s="839"/>
      <c r="O531" s="839"/>
      <c r="P531" s="839"/>
      <c r="Q531" s="839"/>
      <c r="R531" s="839"/>
      <c r="S531" s="839"/>
      <c r="T531" s="839"/>
      <c r="U531" s="839"/>
      <c r="V531" s="839"/>
      <c r="W531" s="839"/>
      <c r="X531" s="445"/>
      <c r="AH531" s="367"/>
    </row>
    <row r="532" spans="1:34" ht="13.5" customHeight="1">
      <c r="A532" s="963" t="s">
        <v>353</v>
      </c>
      <c r="B532" s="964" t="s">
        <v>354</v>
      </c>
      <c r="C532" s="964"/>
      <c r="D532" s="964"/>
      <c r="E532" s="964"/>
      <c r="F532" s="964"/>
      <c r="G532" s="964"/>
      <c r="H532" s="848">
        <v>0</v>
      </c>
      <c r="I532" s="848"/>
      <c r="J532" s="848"/>
      <c r="K532" s="848"/>
      <c r="L532" s="848">
        <f>AC532</f>
        <v>40</v>
      </c>
      <c r="M532" s="848"/>
      <c r="N532" s="848"/>
      <c r="O532" s="848"/>
      <c r="P532" s="848">
        <f>AD532</f>
        <v>60</v>
      </c>
      <c r="Q532" s="848"/>
      <c r="R532" s="848"/>
      <c r="S532" s="848"/>
      <c r="T532" s="848">
        <f>AE532</f>
        <v>80</v>
      </c>
      <c r="U532" s="848"/>
      <c r="V532" s="848"/>
      <c r="W532" s="848"/>
      <c r="X532" s="445"/>
      <c r="AC532" s="251">
        <v>40</v>
      </c>
      <c r="AD532" s="251">
        <v>60</v>
      </c>
      <c r="AE532" s="251">
        <v>80</v>
      </c>
      <c r="AH532" s="367"/>
    </row>
    <row r="533" spans="1:34" ht="13.5" customHeight="1">
      <c r="A533" s="963"/>
      <c r="B533" s="964"/>
      <c r="C533" s="964"/>
      <c r="D533" s="964"/>
      <c r="E533" s="964"/>
      <c r="F533" s="964"/>
      <c r="G533" s="964"/>
      <c r="H533" s="965" t="s">
        <v>349</v>
      </c>
      <c r="I533" s="966"/>
      <c r="J533" s="966"/>
      <c r="K533" s="967"/>
      <c r="L533" s="965" t="s">
        <v>350</v>
      </c>
      <c r="M533" s="966"/>
      <c r="N533" s="966"/>
      <c r="O533" s="967"/>
      <c r="P533" s="965" t="s">
        <v>351</v>
      </c>
      <c r="Q533" s="966"/>
      <c r="R533" s="966"/>
      <c r="S533" s="967"/>
      <c r="T533" s="965" t="s">
        <v>352</v>
      </c>
      <c r="U533" s="966"/>
      <c r="V533" s="966"/>
      <c r="W533" s="967"/>
      <c r="X533" s="445"/>
      <c r="AC533" s="190" t="str">
        <f>IF($Z$527="нет","-",AC532)</f>
        <v>-</v>
      </c>
      <c r="AD533" s="190" t="str">
        <f>IF($Z$527="нет","-",AD532)</f>
        <v>-</v>
      </c>
      <c r="AE533" s="190" t="str">
        <f>IF($Z$527="нет","-",AE532)</f>
        <v>-</v>
      </c>
      <c r="AH533" s="367"/>
    </row>
    <row r="534" spans="1:34" ht="12.75" customHeight="1">
      <c r="A534" s="963"/>
      <c r="B534" s="964"/>
      <c r="C534" s="964"/>
      <c r="D534" s="964"/>
      <c r="E534" s="964"/>
      <c r="F534" s="964"/>
      <c r="G534" s="964"/>
      <c r="H534" s="913" t="str">
        <f>IF(Y534=0,IF(OR(FIO="",Z527="нет"),"-",0),"")</f>
        <v>-</v>
      </c>
      <c r="I534" s="834"/>
      <c r="J534" s="834"/>
      <c r="K534" s="835"/>
      <c r="L534" s="985"/>
      <c r="M534" s="985"/>
      <c r="N534" s="985"/>
      <c r="O534" s="985"/>
      <c r="P534" s="985"/>
      <c r="Q534" s="985"/>
      <c r="R534" s="985"/>
      <c r="S534" s="985"/>
      <c r="T534" s="985"/>
      <c r="U534" s="985"/>
      <c r="V534" s="985"/>
      <c r="W534" s="985"/>
      <c r="X534" s="445"/>
      <c r="Y534" s="267">
        <f>MAX(L534:W535)</f>
        <v>0</v>
      </c>
      <c r="Z534" s="253">
        <v>80</v>
      </c>
      <c r="AA534" s="270">
        <v>40</v>
      </c>
      <c r="AH534" s="367"/>
    </row>
    <row r="535" spans="1:34" ht="12.75" customHeight="1">
      <c r="A535" s="963"/>
      <c r="B535" s="964"/>
      <c r="C535" s="964"/>
      <c r="D535" s="964"/>
      <c r="E535" s="964"/>
      <c r="F535" s="964"/>
      <c r="G535" s="964"/>
      <c r="H535" s="948"/>
      <c r="I535" s="836"/>
      <c r="J535" s="836"/>
      <c r="K535" s="837"/>
      <c r="L535" s="839"/>
      <c r="M535" s="839"/>
      <c r="N535" s="839"/>
      <c r="O535" s="839"/>
      <c r="P535" s="839"/>
      <c r="Q535" s="839"/>
      <c r="R535" s="839"/>
      <c r="S535" s="839"/>
      <c r="T535" s="839"/>
      <c r="U535" s="839"/>
      <c r="V535" s="839"/>
      <c r="W535" s="839"/>
      <c r="X535" s="445"/>
      <c r="AH535" s="367"/>
    </row>
    <row r="536" spans="1:34" ht="13.5" customHeight="1">
      <c r="A536" s="963" t="s">
        <v>355</v>
      </c>
      <c r="B536" s="964" t="s">
        <v>356</v>
      </c>
      <c r="C536" s="964"/>
      <c r="D536" s="964"/>
      <c r="E536" s="964"/>
      <c r="F536" s="964"/>
      <c r="G536" s="964"/>
      <c r="H536" s="848">
        <v>0</v>
      </c>
      <c r="I536" s="848"/>
      <c r="J536" s="848"/>
      <c r="K536" s="848"/>
      <c r="L536" s="848">
        <v>40</v>
      </c>
      <c r="M536" s="848"/>
      <c r="N536" s="848"/>
      <c r="O536" s="848"/>
      <c r="P536" s="848">
        <v>60</v>
      </c>
      <c r="Q536" s="848"/>
      <c r="R536" s="848"/>
      <c r="S536" s="848"/>
      <c r="T536" s="848">
        <v>80</v>
      </c>
      <c r="U536" s="848"/>
      <c r="V536" s="848"/>
      <c r="W536" s="848"/>
      <c r="X536" s="445"/>
      <c r="AH536" s="367"/>
    </row>
    <row r="537" spans="1:34" ht="13.5" customHeight="1">
      <c r="A537" s="963"/>
      <c r="B537" s="964"/>
      <c r="C537" s="964"/>
      <c r="D537" s="964"/>
      <c r="E537" s="964"/>
      <c r="F537" s="964"/>
      <c r="G537" s="964"/>
      <c r="H537" s="965" t="s">
        <v>349</v>
      </c>
      <c r="I537" s="966"/>
      <c r="J537" s="966"/>
      <c r="K537" s="967"/>
      <c r="L537" s="965" t="s">
        <v>350</v>
      </c>
      <c r="M537" s="966"/>
      <c r="N537" s="966"/>
      <c r="O537" s="967"/>
      <c r="P537" s="965" t="s">
        <v>351</v>
      </c>
      <c r="Q537" s="966"/>
      <c r="R537" s="966"/>
      <c r="S537" s="967"/>
      <c r="T537" s="965" t="s">
        <v>352</v>
      </c>
      <c r="U537" s="966"/>
      <c r="V537" s="966"/>
      <c r="W537" s="967"/>
      <c r="X537" s="445"/>
      <c r="AH537" s="367"/>
    </row>
    <row r="538" spans="1:34" ht="12.75" customHeight="1">
      <c r="A538" s="963"/>
      <c r="B538" s="964"/>
      <c r="C538" s="964"/>
      <c r="D538" s="964"/>
      <c r="E538" s="964"/>
      <c r="F538" s="964"/>
      <c r="G538" s="964"/>
      <c r="H538" s="913" t="str">
        <f>IF(Y538=0,IF(OR(FIO="",Z527="нет"),"-",0),"")</f>
        <v>-</v>
      </c>
      <c r="I538" s="834"/>
      <c r="J538" s="834"/>
      <c r="K538" s="835"/>
      <c r="L538" s="985"/>
      <c r="M538" s="985"/>
      <c r="N538" s="985"/>
      <c r="O538" s="985"/>
      <c r="P538" s="985"/>
      <c r="Q538" s="985"/>
      <c r="R538" s="985"/>
      <c r="S538" s="985"/>
      <c r="T538" s="985"/>
      <c r="U538" s="985"/>
      <c r="V538" s="985"/>
      <c r="W538" s="985"/>
      <c r="X538" s="445"/>
      <c r="Y538" s="267">
        <f>MAX(L538:W539)</f>
        <v>0</v>
      </c>
      <c r="Z538" s="253">
        <v>80</v>
      </c>
      <c r="AA538" s="270">
        <v>40</v>
      </c>
      <c r="AH538" s="367"/>
    </row>
    <row r="539" spans="1:34" ht="12.75" customHeight="1">
      <c r="A539" s="963"/>
      <c r="B539" s="964"/>
      <c r="C539" s="964"/>
      <c r="D539" s="964"/>
      <c r="E539" s="964"/>
      <c r="F539" s="964"/>
      <c r="G539" s="964"/>
      <c r="H539" s="948"/>
      <c r="I539" s="836"/>
      <c r="J539" s="836"/>
      <c r="K539" s="837"/>
      <c r="L539" s="839"/>
      <c r="M539" s="839"/>
      <c r="N539" s="839"/>
      <c r="O539" s="839"/>
      <c r="P539" s="839"/>
      <c r="Q539" s="839"/>
      <c r="R539" s="839"/>
      <c r="S539" s="839"/>
      <c r="T539" s="839"/>
      <c r="U539" s="839"/>
      <c r="V539" s="839"/>
      <c r="W539" s="839"/>
      <c r="X539" s="445"/>
      <c r="AH539" s="367"/>
    </row>
    <row r="540" spans="24:34" ht="12.75">
      <c r="X540" s="445"/>
      <c r="AH540" s="367"/>
    </row>
    <row r="541" spans="24:34" ht="12.75">
      <c r="X541" s="445"/>
      <c r="AH541" s="367"/>
    </row>
    <row r="542" spans="2:34" ht="14.25" customHeight="1">
      <c r="B542" s="260" t="s">
        <v>271</v>
      </c>
      <c r="X542" s="445"/>
      <c r="Y542" s="166"/>
      <c r="Z542" s="166"/>
      <c r="AA542" s="299" t="s">
        <v>438</v>
      </c>
      <c r="AB542" s="268">
        <f>итого_1+итого_2+итого_3</f>
        <v>0</v>
      </c>
      <c r="AC542" s="354">
        <v>720</v>
      </c>
      <c r="AE542" s="354">
        <v>540</v>
      </c>
      <c r="AF542" s="355" t="s">
        <v>313</v>
      </c>
      <c r="AH542" s="367"/>
    </row>
    <row r="543" spans="2:34" ht="4.5" customHeight="1">
      <c r="B543" s="226"/>
      <c r="X543" s="445"/>
      <c r="AH543" s="367"/>
    </row>
    <row r="544" spans="2:34" ht="14.25" customHeight="1">
      <c r="B544" s="1055" t="s">
        <v>251</v>
      </c>
      <c r="C544" s="1056"/>
      <c r="D544" s="1056"/>
      <c r="E544" s="1056"/>
      <c r="F544" s="1056"/>
      <c r="G544" s="1057"/>
      <c r="H544" s="1055" t="s">
        <v>252</v>
      </c>
      <c r="I544" s="1056"/>
      <c r="J544" s="1056"/>
      <c r="K544" s="1056"/>
      <c r="L544" s="1056"/>
      <c r="M544" s="1056"/>
      <c r="N544" s="1056"/>
      <c r="O544" s="1056"/>
      <c r="P544" s="1056"/>
      <c r="Q544" s="1056"/>
      <c r="R544" s="1056"/>
      <c r="S544" s="1057"/>
      <c r="X544" s="445"/>
      <c r="AA544" s="353" t="s">
        <v>439</v>
      </c>
      <c r="AH544" s="367"/>
    </row>
    <row r="545" spans="2:34" ht="14.25" customHeight="1">
      <c r="B545" s="1045" t="s">
        <v>253</v>
      </c>
      <c r="C545" s="1046"/>
      <c r="D545" s="1046"/>
      <c r="E545" s="1046"/>
      <c r="F545" s="1046"/>
      <c r="G545" s="1047"/>
      <c r="H545" s="1025" t="s">
        <v>741</v>
      </c>
      <c r="I545" s="1026"/>
      <c r="J545" s="1026"/>
      <c r="K545" s="1026"/>
      <c r="L545" s="1026"/>
      <c r="M545" s="1026"/>
      <c r="N545" s="1026"/>
      <c r="O545" s="1026"/>
      <c r="P545" s="1026"/>
      <c r="Q545" s="1026"/>
      <c r="R545" s="1026"/>
      <c r="S545" s="1027"/>
      <c r="X545" s="445"/>
      <c r="AA545" s="353"/>
      <c r="AH545" s="367"/>
    </row>
    <row r="546" spans="1:34" ht="14.25" customHeight="1">
      <c r="A546" s="5"/>
      <c r="B546" s="1048"/>
      <c r="C546" s="1049"/>
      <c r="D546" s="1049"/>
      <c r="E546" s="1049"/>
      <c r="F546" s="1049"/>
      <c r="G546" s="1050"/>
      <c r="H546" s="1028"/>
      <c r="I546" s="1029"/>
      <c r="J546" s="1029"/>
      <c r="K546" s="1029"/>
      <c r="L546" s="1029"/>
      <c r="M546" s="1029"/>
      <c r="N546" s="1029"/>
      <c r="O546" s="1029"/>
      <c r="P546" s="1029"/>
      <c r="Q546" s="1029"/>
      <c r="R546" s="1029"/>
      <c r="S546" s="1030"/>
      <c r="X546" s="445"/>
      <c r="AA546" s="304">
        <f>'общие сведения'!M19</f>
        <v>280</v>
      </c>
      <c r="AB546" s="304">
        <f>'общие сведения'!M20</f>
        <v>340</v>
      </c>
      <c r="AC546" s="5" t="str">
        <f>AB546&amp;" / "&amp;AA546&amp;" *"</f>
        <v>340 / 280 *</v>
      </c>
      <c r="AD546" s="304">
        <f>порог_П</f>
        <v>280</v>
      </c>
      <c r="AE546" s="614" t="s">
        <v>627</v>
      </c>
      <c r="AH546" s="367"/>
    </row>
    <row r="547" spans="1:34" ht="14.25" customHeight="1">
      <c r="A547" s="5"/>
      <c r="B547" s="1045" t="s">
        <v>254</v>
      </c>
      <c r="C547" s="1046"/>
      <c r="D547" s="1046"/>
      <c r="E547" s="1046"/>
      <c r="F547" s="1046"/>
      <c r="G547" s="1047"/>
      <c r="H547" s="1025" t="s">
        <v>742</v>
      </c>
      <c r="I547" s="1040"/>
      <c r="J547" s="1040"/>
      <c r="K547" s="1040"/>
      <c r="L547" s="1040"/>
      <c r="M547" s="1040"/>
      <c r="N547" s="1040"/>
      <c r="O547" s="1040"/>
      <c r="P547" s="1040"/>
      <c r="Q547" s="1040"/>
      <c r="R547" s="1040"/>
      <c r="S547" s="1041"/>
      <c r="X547" s="445"/>
      <c r="AA547" s="304"/>
      <c r="AB547" s="304"/>
      <c r="AD547" s="304"/>
      <c r="AE547" s="614"/>
      <c r="AH547" s="367"/>
    </row>
    <row r="548" spans="1:34" ht="14.25" customHeight="1">
      <c r="A548" s="5"/>
      <c r="B548" s="1048"/>
      <c r="C548" s="1049"/>
      <c r="D548" s="1049"/>
      <c r="E548" s="1049"/>
      <c r="F548" s="1049"/>
      <c r="G548" s="1050"/>
      <c r="H548" s="1042"/>
      <c r="I548" s="1043"/>
      <c r="J548" s="1043"/>
      <c r="K548" s="1043"/>
      <c r="L548" s="1043"/>
      <c r="M548" s="1043"/>
      <c r="N548" s="1043"/>
      <c r="O548" s="1043"/>
      <c r="P548" s="1043"/>
      <c r="Q548" s="1043"/>
      <c r="R548" s="1043"/>
      <c r="S548" s="1044"/>
      <c r="X548" s="445"/>
      <c r="Y548" s="328">
        <f>IF(G56="первая","первой",IF(G56="высшая","высшей",""))</f>
      </c>
      <c r="AA548" s="304">
        <f>'общие сведения'!N19</f>
        <v>540</v>
      </c>
      <c r="AB548" s="304">
        <f>'общие сведения'!N20</f>
        <v>600</v>
      </c>
      <c r="AC548" s="5" t="str">
        <f>AB548&amp;" / "&amp;AA548&amp;" *"</f>
        <v>600 / 540 *</v>
      </c>
      <c r="AD548" s="304">
        <f>порог_В</f>
        <v>540</v>
      </c>
      <c r="AE548" s="614" t="s">
        <v>628</v>
      </c>
      <c r="AH548" s="367"/>
    </row>
    <row r="549" spans="1:34" ht="12.75" customHeight="1">
      <c r="A549" s="322"/>
      <c r="B549" s="322"/>
      <c r="C549" s="322"/>
      <c r="D549" s="322"/>
      <c r="E549" s="322"/>
      <c r="F549" s="322"/>
      <c r="G549" s="322"/>
      <c r="H549" s="322"/>
      <c r="I549" s="301"/>
      <c r="J549" s="301"/>
      <c r="L549" s="324"/>
      <c r="M549" s="324"/>
      <c r="N549" s="323"/>
      <c r="P549" s="324"/>
      <c r="Q549" s="323"/>
      <c r="R549" s="323"/>
      <c r="S549" s="12"/>
      <c r="X549" s="445"/>
      <c r="AA549" s="304"/>
      <c r="AH549" s="367"/>
    </row>
    <row r="550" spans="1:34" ht="12.75" customHeight="1">
      <c r="A550" s="322"/>
      <c r="B550" s="260" t="s">
        <v>275</v>
      </c>
      <c r="C550" s="322"/>
      <c r="D550" s="322"/>
      <c r="E550" s="322"/>
      <c r="F550" s="322"/>
      <c r="G550" s="322"/>
      <c r="H550" s="322"/>
      <c r="I550" s="301"/>
      <c r="J550" s="301"/>
      <c r="K550" s="324"/>
      <c r="L550" s="324"/>
      <c r="M550" s="324"/>
      <c r="N550" s="323"/>
      <c r="O550" s="324"/>
      <c r="P550" s="1064">
        <f>IF(FIO="","",Всего)</f>
      </c>
      <c r="Q550" s="1064"/>
      <c r="R550" s="320"/>
      <c r="S550" s="260" t="s">
        <v>255</v>
      </c>
      <c r="X550" s="445"/>
      <c r="AH550" s="367"/>
    </row>
    <row r="551" spans="24:34" ht="12.75">
      <c r="X551" s="445"/>
      <c r="AH551" s="367"/>
    </row>
    <row r="552" spans="1:34" ht="15">
      <c r="A552" s="201" t="s">
        <v>193</v>
      </c>
      <c r="B552" s="325"/>
      <c r="C552" s="325"/>
      <c r="D552" s="325"/>
      <c r="E552" s="325"/>
      <c r="F552" s="326"/>
      <c r="G552" s="326"/>
      <c r="H552" s="326"/>
      <c r="I552" s="326"/>
      <c r="J552" s="326"/>
      <c r="K552" s="239"/>
      <c r="L552" s="239" t="str">
        <f>Y552&amp;Y554</f>
        <v>педагога-психолога</v>
      </c>
      <c r="M552" s="214"/>
      <c r="N552" s="214"/>
      <c r="O552" s="326"/>
      <c r="P552" s="326"/>
      <c r="Q552" s="326"/>
      <c r="R552" s="326"/>
      <c r="S552" s="326"/>
      <c r="U552" s="327"/>
      <c r="V552" s="327"/>
      <c r="W552" s="390" t="s">
        <v>546</v>
      </c>
      <c r="X552" s="445"/>
      <c r="Y552" s="394" t="str">
        <f>IF(AND(AA35&lt;31,Y36=1),Y35,AE35)</f>
        <v>педагога-психолога</v>
      </c>
      <c r="AH552" s="367"/>
    </row>
    <row r="553" spans="1:34" ht="9" customHeight="1">
      <c r="A553" s="201"/>
      <c r="B553" s="325"/>
      <c r="C553" s="325"/>
      <c r="D553" s="325"/>
      <c r="E553" s="325"/>
      <c r="F553" s="1058" t="s">
        <v>499</v>
      </c>
      <c r="G553" s="1058"/>
      <c r="H553" s="1058"/>
      <c r="I553" s="1058"/>
      <c r="J553" s="1058"/>
      <c r="K553" s="1058"/>
      <c r="L553" s="1058"/>
      <c r="M553" s="1058"/>
      <c r="N553" s="1058"/>
      <c r="O553" s="1058"/>
      <c r="P553" s="1058"/>
      <c r="Q553" s="1058"/>
      <c r="R553" s="1058"/>
      <c r="S553" s="1058"/>
      <c r="U553" s="327"/>
      <c r="V553" s="327"/>
      <c r="W553" s="390"/>
      <c r="X553" s="367"/>
      <c r="Y553" s="394"/>
      <c r="AH553" s="367"/>
    </row>
    <row r="554" spans="1:34" ht="15">
      <c r="A554" s="201" t="s">
        <v>545</v>
      </c>
      <c r="B554" s="325"/>
      <c r="C554" s="325"/>
      <c r="D554" s="325"/>
      <c r="E554" s="325"/>
      <c r="F554" s="325"/>
      <c r="G554" s="139"/>
      <c r="H554" s="457">
        <f>IF(OR(Всего="",FIO="",G56=""),"",Y548)</f>
      </c>
      <c r="I554" s="458"/>
      <c r="J554" s="458"/>
      <c r="K554" s="139"/>
      <c r="L554" s="202" t="s">
        <v>194</v>
      </c>
      <c r="M554" s="325"/>
      <c r="N554" s="325"/>
      <c r="O554" s="325"/>
      <c r="P554" s="325"/>
      <c r="Q554" s="325"/>
      <c r="R554" s="325"/>
      <c r="S554" s="325"/>
      <c r="T554" s="325"/>
      <c r="U554" s="325"/>
      <c r="V554" s="325"/>
      <c r="W554" s="325"/>
      <c r="X554" s="445"/>
      <c r="Y554" s="394">
        <f>Z82</f>
      </c>
      <c r="AH554" s="367"/>
    </row>
    <row r="555" spans="24:34" ht="12.75">
      <c r="X555" s="445"/>
      <c r="AH555" s="367"/>
    </row>
    <row r="556" spans="1:34" ht="15">
      <c r="A556" s="611" t="s">
        <v>165</v>
      </c>
      <c r="X556" s="445"/>
      <c r="AH556" s="367"/>
    </row>
    <row r="557" spans="1:34" ht="3" customHeight="1">
      <c r="A557" s="304"/>
      <c r="B557" s="264"/>
      <c r="C557" s="304"/>
      <c r="D557" s="264"/>
      <c r="E557" s="264"/>
      <c r="F557" s="264"/>
      <c r="G557" s="264"/>
      <c r="H557" s="264"/>
      <c r="I557" s="264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  <c r="T557" s="264"/>
      <c r="U557" s="264"/>
      <c r="V557" s="264"/>
      <c r="W557" s="264"/>
      <c r="X557" s="445"/>
      <c r="AH557" s="367"/>
    </row>
    <row r="558" spans="1:34" ht="15" customHeight="1">
      <c r="A558" s="1023">
        <f>D87</f>
      </c>
      <c r="B558" s="1023"/>
      <c r="C558" s="1023"/>
      <c r="D558" s="1023"/>
      <c r="E558" s="1023"/>
      <c r="F558" s="1023"/>
      <c r="G558" s="1023"/>
      <c r="H558" s="1023"/>
      <c r="I558" s="1023"/>
      <c r="J558" s="1023"/>
      <c r="K558" s="1023"/>
      <c r="L558" s="1023"/>
      <c r="M558" s="1023"/>
      <c r="N558" s="1023"/>
      <c r="O558" s="1023"/>
      <c r="P558" s="1023"/>
      <c r="Q558" s="1023"/>
      <c r="R558" s="1023"/>
      <c r="S558" s="1023"/>
      <c r="T558" s="1023"/>
      <c r="U558" s="1023"/>
      <c r="V558" s="1023"/>
      <c r="W558" s="1023"/>
      <c r="X558" s="445"/>
      <c r="Y558" s="1022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558" s="1022"/>
      <c r="AA558" s="1022"/>
      <c r="AB558" s="1022"/>
      <c r="AC558" s="1022"/>
      <c r="AD558" s="1022"/>
      <c r="AE558" s="1022"/>
      <c r="AH558" s="367"/>
    </row>
    <row r="559" spans="1:34" ht="15" customHeight="1">
      <c r="A559" s="1023"/>
      <c r="B559" s="1023"/>
      <c r="C559" s="1023"/>
      <c r="D559" s="1023"/>
      <c r="E559" s="1023"/>
      <c r="F559" s="1023"/>
      <c r="G559" s="1023"/>
      <c r="H559" s="1023"/>
      <c r="I559" s="1023"/>
      <c r="J559" s="1023"/>
      <c r="K559" s="1023"/>
      <c r="L559" s="1023"/>
      <c r="M559" s="1023"/>
      <c r="N559" s="1023"/>
      <c r="O559" s="1023"/>
      <c r="P559" s="1023"/>
      <c r="Q559" s="1023"/>
      <c r="R559" s="1023"/>
      <c r="S559" s="1023"/>
      <c r="T559" s="1023"/>
      <c r="U559" s="1023"/>
      <c r="V559" s="1023"/>
      <c r="W559" s="1023"/>
      <c r="X559" s="445"/>
      <c r="Y559" s="1022"/>
      <c r="Z559" s="1022"/>
      <c r="AA559" s="1022"/>
      <c r="AB559" s="1022"/>
      <c r="AC559" s="1022"/>
      <c r="AD559" s="1022"/>
      <c r="AE559" s="1022"/>
      <c r="AF559" s="293"/>
      <c r="AG559" s="293"/>
      <c r="AH559" s="367"/>
    </row>
    <row r="560" spans="1:34" ht="15" customHeight="1">
      <c r="A560" s="1023"/>
      <c r="B560" s="1023"/>
      <c r="C560" s="1023"/>
      <c r="D560" s="1023"/>
      <c r="E560" s="1023"/>
      <c r="F560" s="1023"/>
      <c r="G560" s="1023"/>
      <c r="H560" s="1023"/>
      <c r="I560" s="1023"/>
      <c r="J560" s="1023"/>
      <c r="K560" s="1023"/>
      <c r="L560" s="1023"/>
      <c r="M560" s="1023"/>
      <c r="N560" s="1023"/>
      <c r="O560" s="1023"/>
      <c r="P560" s="1023"/>
      <c r="Q560" s="1023"/>
      <c r="R560" s="1023"/>
      <c r="S560" s="1023"/>
      <c r="T560" s="1023"/>
      <c r="U560" s="1023"/>
      <c r="V560" s="1023"/>
      <c r="W560" s="1023"/>
      <c r="X560" s="445"/>
      <c r="Y560" s="1022"/>
      <c r="Z560" s="1022"/>
      <c r="AA560" s="1022"/>
      <c r="AB560" s="1022"/>
      <c r="AC560" s="1022"/>
      <c r="AD560" s="1022"/>
      <c r="AE560" s="1022"/>
      <c r="AF560" s="293"/>
      <c r="AG560" s="293"/>
      <c r="AH560" s="367"/>
    </row>
    <row r="561" spans="1:34" ht="12.75" customHeight="1">
      <c r="A561" s="1023"/>
      <c r="B561" s="1023"/>
      <c r="C561" s="1023"/>
      <c r="D561" s="1023"/>
      <c r="E561" s="1023"/>
      <c r="F561" s="1023"/>
      <c r="G561" s="1023"/>
      <c r="H561" s="1023"/>
      <c r="I561" s="1023"/>
      <c r="J561" s="1023"/>
      <c r="K561" s="1023"/>
      <c r="L561" s="1023"/>
      <c r="M561" s="1023"/>
      <c r="N561" s="1023"/>
      <c r="O561" s="1023"/>
      <c r="P561" s="1023"/>
      <c r="Q561" s="1023"/>
      <c r="R561" s="1023"/>
      <c r="S561" s="1023"/>
      <c r="T561" s="1023"/>
      <c r="U561" s="1023"/>
      <c r="V561" s="1023"/>
      <c r="W561" s="1023"/>
      <c r="X561" s="445"/>
      <c r="Y561" s="1022"/>
      <c r="Z561" s="1022"/>
      <c r="AA561" s="1022"/>
      <c r="AB561" s="1022"/>
      <c r="AC561" s="1022"/>
      <c r="AD561" s="1022"/>
      <c r="AE561" s="1022"/>
      <c r="AF561" s="293"/>
      <c r="AG561" s="293"/>
      <c r="AH561" s="367"/>
    </row>
    <row r="562" spans="1:123" ht="15">
      <c r="A562" s="264"/>
      <c r="B562" s="264"/>
      <c r="C562" s="264"/>
      <c r="D562" s="264"/>
      <c r="E562" s="264"/>
      <c r="F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445"/>
      <c r="Y562" s="293"/>
      <c r="Z562" s="293"/>
      <c r="AA562" s="293"/>
      <c r="AB562" s="293"/>
      <c r="AC562" s="293"/>
      <c r="AD562" s="293"/>
      <c r="AE562" s="293"/>
      <c r="AF562" s="293"/>
      <c r="AG562" s="293"/>
      <c r="AH562" s="367"/>
      <c r="AI562" s="293"/>
      <c r="AJ562" s="293"/>
      <c r="AK562" s="293"/>
      <c r="AL562" s="293"/>
      <c r="AM562" s="293"/>
      <c r="AQ562" s="293"/>
      <c r="AR562" s="293"/>
      <c r="AS562" s="293"/>
      <c r="AT562" s="293"/>
      <c r="AU562" s="293"/>
      <c r="AV562" s="293"/>
      <c r="BD562" s="293"/>
      <c r="BE562" s="293"/>
      <c r="BF562" s="293"/>
      <c r="BG562" s="293"/>
      <c r="BH562" s="293"/>
      <c r="BI562" s="293"/>
      <c r="BJ562" s="293"/>
      <c r="BK562" s="293"/>
      <c r="BS562" s="293"/>
      <c r="BT562" s="293"/>
      <c r="BU562" s="293"/>
      <c r="BV562" s="293"/>
      <c r="BW562" s="293"/>
      <c r="BX562" s="293"/>
      <c r="BY562" s="293"/>
      <c r="BZ562" s="293"/>
      <c r="CH562" s="293"/>
      <c r="CI562" s="293"/>
      <c r="CJ562" s="293"/>
      <c r="CK562" s="293"/>
      <c r="CL562" s="293"/>
      <c r="CM562" s="293"/>
      <c r="CN562" s="293"/>
      <c r="CO562" s="293"/>
      <c r="CW562" s="293"/>
      <c r="CX562" s="293"/>
      <c r="CY562" s="293"/>
      <c r="CZ562" s="293"/>
      <c r="DA562" s="293"/>
      <c r="DB562" s="293"/>
      <c r="DC562" s="293"/>
      <c r="DD562" s="293"/>
      <c r="DL562" s="293"/>
      <c r="DM562" s="293"/>
      <c r="DN562" s="293"/>
      <c r="DO562" s="293"/>
      <c r="DP562" s="293"/>
      <c r="DQ562" s="293"/>
      <c r="DR562" s="293"/>
      <c r="DS562" s="293"/>
    </row>
    <row r="563" spans="1:123" ht="6" customHeight="1">
      <c r="A563" s="376"/>
      <c r="B563" s="376"/>
      <c r="C563" s="376"/>
      <c r="D563" s="376"/>
      <c r="E563" s="264"/>
      <c r="F563" s="264"/>
      <c r="G563" s="264"/>
      <c r="H563" s="264"/>
      <c r="I563" s="264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  <c r="T563" s="264"/>
      <c r="U563" s="264"/>
      <c r="V563" s="264"/>
      <c r="W563" s="264"/>
      <c r="X563" s="445"/>
      <c r="Y563" s="293"/>
      <c r="Z563" s="293"/>
      <c r="AA563" s="293"/>
      <c r="AB563" s="293"/>
      <c r="AC563" s="293"/>
      <c r="AD563" s="293"/>
      <c r="AE563" s="293"/>
      <c r="AF563" s="293"/>
      <c r="AG563" s="293"/>
      <c r="AH563" s="367"/>
      <c r="AI563" s="293"/>
      <c r="AJ563" s="293"/>
      <c r="AK563" s="293"/>
      <c r="AL563" s="293"/>
      <c r="AM563" s="293"/>
      <c r="AQ563" s="293"/>
      <c r="AR563" s="293"/>
      <c r="AS563" s="293"/>
      <c r="AT563" s="293"/>
      <c r="AU563" s="293"/>
      <c r="AV563" s="293"/>
      <c r="BD563" s="293"/>
      <c r="BE563" s="293"/>
      <c r="BF563" s="293"/>
      <c r="BG563" s="293"/>
      <c r="BH563" s="293"/>
      <c r="BI563" s="293"/>
      <c r="BJ563" s="293"/>
      <c r="BK563" s="293"/>
      <c r="BS563" s="293"/>
      <c r="BT563" s="293"/>
      <c r="BU563" s="293"/>
      <c r="BV563" s="293"/>
      <c r="BW563" s="293"/>
      <c r="BX563" s="293"/>
      <c r="BY563" s="293"/>
      <c r="BZ563" s="293"/>
      <c r="CH563" s="293"/>
      <c r="CI563" s="293"/>
      <c r="CJ563" s="293"/>
      <c r="CK563" s="293"/>
      <c r="CL563" s="293"/>
      <c r="CM563" s="293"/>
      <c r="CN563" s="293"/>
      <c r="CO563" s="293"/>
      <c r="CW563" s="293"/>
      <c r="CX563" s="293"/>
      <c r="CY563" s="293"/>
      <c r="CZ563" s="293"/>
      <c r="DA563" s="293"/>
      <c r="DB563" s="293"/>
      <c r="DC563" s="293"/>
      <c r="DD563" s="293"/>
      <c r="DL563" s="293"/>
      <c r="DM563" s="293"/>
      <c r="DN563" s="293"/>
      <c r="DO563" s="293"/>
      <c r="DP563" s="293"/>
      <c r="DQ563" s="293"/>
      <c r="DR563" s="293"/>
      <c r="DS563" s="293"/>
    </row>
    <row r="564" spans="1:123" ht="17.25" customHeight="1">
      <c r="A564" s="645" t="s">
        <v>209</v>
      </c>
      <c r="B564" s="1054" t="s">
        <v>744</v>
      </c>
      <c r="C564" s="1054"/>
      <c r="D564" s="1054"/>
      <c r="E564" s="1054"/>
      <c r="F564" s="1054"/>
      <c r="G564" s="1054"/>
      <c r="H564" s="1054"/>
      <c r="I564" s="1054"/>
      <c r="J564" s="1054"/>
      <c r="K564" s="1054"/>
      <c r="L564" s="1054"/>
      <c r="M564" s="1054"/>
      <c r="N564" s="1054"/>
      <c r="O564" s="1054"/>
      <c r="P564" s="1054"/>
      <c r="Q564" s="1054"/>
      <c r="R564" s="1054"/>
      <c r="S564" s="1054"/>
      <c r="T564" s="1054"/>
      <c r="U564" s="1054"/>
      <c r="V564" s="1054"/>
      <c r="W564" s="1054"/>
      <c r="X564" s="445"/>
      <c r="Y564" s="293"/>
      <c r="Z564" s="293"/>
      <c r="AA564" s="293"/>
      <c r="AB564" s="293"/>
      <c r="AC564" s="293"/>
      <c r="AD564" s="293"/>
      <c r="AE564" s="293"/>
      <c r="AF564" s="293"/>
      <c r="AG564" s="293"/>
      <c r="AH564" s="367"/>
      <c r="AI564" s="293"/>
      <c r="AJ564" s="293"/>
      <c r="AK564" s="293"/>
      <c r="AL564" s="293"/>
      <c r="AM564" s="293"/>
      <c r="AQ564" s="293"/>
      <c r="AR564" s="293"/>
      <c r="AS564" s="293"/>
      <c r="AT564" s="293"/>
      <c r="AU564" s="293"/>
      <c r="AV564" s="293"/>
      <c r="BD564" s="293"/>
      <c r="BE564" s="293"/>
      <c r="BF564" s="293"/>
      <c r="BG564" s="293"/>
      <c r="BH564" s="293"/>
      <c r="BI564" s="293"/>
      <c r="BJ564" s="293"/>
      <c r="BK564" s="293"/>
      <c r="BS564" s="293"/>
      <c r="BT564" s="293"/>
      <c r="BU564" s="293"/>
      <c r="BV564" s="293"/>
      <c r="BW564" s="293"/>
      <c r="BX564" s="293"/>
      <c r="BY564" s="293"/>
      <c r="BZ564" s="293"/>
      <c r="CH564" s="293"/>
      <c r="CI564" s="293"/>
      <c r="CJ564" s="293"/>
      <c r="CK564" s="293"/>
      <c r="CL564" s="293"/>
      <c r="CM564" s="293"/>
      <c r="CN564" s="293"/>
      <c r="CO564" s="293"/>
      <c r="CW564" s="293"/>
      <c r="CX564" s="293"/>
      <c r="CY564" s="293"/>
      <c r="CZ564" s="293"/>
      <c r="DA564" s="293"/>
      <c r="DB564" s="293"/>
      <c r="DC564" s="293"/>
      <c r="DD564" s="293"/>
      <c r="DL564" s="293"/>
      <c r="DM564" s="293"/>
      <c r="DN564" s="293"/>
      <c r="DO564" s="293"/>
      <c r="DP564" s="293"/>
      <c r="DQ564" s="293"/>
      <c r="DR564" s="293"/>
      <c r="DS564" s="293"/>
    </row>
    <row r="565" spans="1:123" ht="13.5" customHeight="1">
      <c r="A565" s="188"/>
      <c r="B565" s="1054"/>
      <c r="C565" s="1054"/>
      <c r="D565" s="1054"/>
      <c r="E565" s="1054"/>
      <c r="F565" s="1054"/>
      <c r="G565" s="1054"/>
      <c r="H565" s="1054"/>
      <c r="I565" s="1054"/>
      <c r="J565" s="1054"/>
      <c r="K565" s="1054"/>
      <c r="L565" s="1054"/>
      <c r="M565" s="1054"/>
      <c r="N565" s="1054"/>
      <c r="O565" s="1054"/>
      <c r="P565" s="1054"/>
      <c r="Q565" s="1054"/>
      <c r="R565" s="1054"/>
      <c r="S565" s="1054"/>
      <c r="T565" s="1054"/>
      <c r="U565" s="1054"/>
      <c r="V565" s="1054"/>
      <c r="W565" s="1054"/>
      <c r="X565" s="445"/>
      <c r="Y565" s="293"/>
      <c r="Z565" s="293"/>
      <c r="AA565" s="293"/>
      <c r="AB565" s="293"/>
      <c r="AC565" s="293"/>
      <c r="AD565" s="293"/>
      <c r="AE565" s="293"/>
      <c r="AF565" s="293"/>
      <c r="AG565" s="293"/>
      <c r="AH565" s="367"/>
      <c r="AI565" s="293"/>
      <c r="AJ565" s="293"/>
      <c r="AK565" s="293"/>
      <c r="AL565" s="293"/>
      <c r="AM565" s="293"/>
      <c r="AQ565" s="293"/>
      <c r="AR565" s="293"/>
      <c r="AS565" s="293"/>
      <c r="AT565" s="293"/>
      <c r="AU565" s="293"/>
      <c r="AV565" s="293"/>
      <c r="BD565" s="293"/>
      <c r="BE565" s="293"/>
      <c r="BF565" s="293"/>
      <c r="BG565" s="293"/>
      <c r="BH565" s="293"/>
      <c r="BI565" s="293"/>
      <c r="BJ565" s="293"/>
      <c r="BK565" s="293"/>
      <c r="BS565" s="293"/>
      <c r="BT565" s="293"/>
      <c r="BU565" s="293"/>
      <c r="BV565" s="293"/>
      <c r="BW565" s="293"/>
      <c r="BX565" s="293"/>
      <c r="BY565" s="293"/>
      <c r="BZ565" s="293"/>
      <c r="CH565" s="293"/>
      <c r="CI565" s="293"/>
      <c r="CJ565" s="293"/>
      <c r="CK565" s="293"/>
      <c r="CL565" s="293"/>
      <c r="CM565" s="293"/>
      <c r="CN565" s="293"/>
      <c r="CO565" s="293"/>
      <c r="CW565" s="293"/>
      <c r="CX565" s="293"/>
      <c r="CY565" s="293"/>
      <c r="CZ565" s="293"/>
      <c r="DA565" s="293"/>
      <c r="DB565" s="293"/>
      <c r="DC565" s="293"/>
      <c r="DD565" s="293"/>
      <c r="DL565" s="293"/>
      <c r="DM565" s="293"/>
      <c r="DN565" s="293"/>
      <c r="DO565" s="293"/>
      <c r="DP565" s="293"/>
      <c r="DQ565" s="293"/>
      <c r="DR565" s="293"/>
      <c r="DS565" s="293"/>
    </row>
    <row r="566" spans="1:123" ht="15" customHeight="1">
      <c r="A566" s="645" t="s">
        <v>743</v>
      </c>
      <c r="B566" s="1054" t="s">
        <v>745</v>
      </c>
      <c r="C566" s="1054"/>
      <c r="D566" s="1054"/>
      <c r="E566" s="1054"/>
      <c r="F566" s="1054"/>
      <c r="G566" s="1054"/>
      <c r="H566" s="1054"/>
      <c r="I566" s="1054"/>
      <c r="J566" s="1054"/>
      <c r="K566" s="1054"/>
      <c r="L566" s="1054"/>
      <c r="M566" s="1054"/>
      <c r="N566" s="1054"/>
      <c r="O566" s="1054"/>
      <c r="P566" s="1054"/>
      <c r="Q566" s="1054"/>
      <c r="R566" s="1054"/>
      <c r="S566" s="1054"/>
      <c r="T566" s="1054"/>
      <c r="U566" s="1054"/>
      <c r="V566" s="1054"/>
      <c r="W566" s="1054"/>
      <c r="X566" s="445"/>
      <c r="Y566" s="293"/>
      <c r="Z566" s="293"/>
      <c r="AA566" s="293"/>
      <c r="AB566" s="293"/>
      <c r="AC566" s="293"/>
      <c r="AD566" s="293"/>
      <c r="AE566" s="293"/>
      <c r="AF566" s="293"/>
      <c r="AG566" s="293"/>
      <c r="AH566" s="367"/>
      <c r="AI566" s="293"/>
      <c r="AJ566" s="293"/>
      <c r="AK566" s="293"/>
      <c r="AL566" s="293"/>
      <c r="AM566" s="293"/>
      <c r="AQ566" s="293"/>
      <c r="AR566" s="293"/>
      <c r="AS566" s="293"/>
      <c r="AT566" s="293"/>
      <c r="AU566" s="293"/>
      <c r="AV566" s="293"/>
      <c r="BD566" s="293"/>
      <c r="BE566" s="293"/>
      <c r="BF566" s="293"/>
      <c r="BG566" s="293"/>
      <c r="BH566" s="293"/>
      <c r="BI566" s="293"/>
      <c r="BJ566" s="293"/>
      <c r="BK566" s="293"/>
      <c r="BS566" s="293"/>
      <c r="BT566" s="293"/>
      <c r="BU566" s="293"/>
      <c r="BV566" s="293"/>
      <c r="BW566" s="293"/>
      <c r="BX566" s="293"/>
      <c r="BY566" s="293"/>
      <c r="BZ566" s="293"/>
      <c r="CH566" s="293"/>
      <c r="CI566" s="293"/>
      <c r="CJ566" s="293"/>
      <c r="CK566" s="293"/>
      <c r="CL566" s="293"/>
      <c r="CM566" s="293"/>
      <c r="CN566" s="293"/>
      <c r="CO566" s="293"/>
      <c r="CW566" s="293"/>
      <c r="CX566" s="293"/>
      <c r="CY566" s="293"/>
      <c r="CZ566" s="293"/>
      <c r="DA566" s="293"/>
      <c r="DB566" s="293"/>
      <c r="DC566" s="293"/>
      <c r="DD566" s="293"/>
      <c r="DL566" s="293"/>
      <c r="DM566" s="293"/>
      <c r="DN566" s="293"/>
      <c r="DO566" s="293"/>
      <c r="DP566" s="293"/>
      <c r="DQ566" s="293"/>
      <c r="DR566" s="293"/>
      <c r="DS566" s="293"/>
    </row>
    <row r="567" spans="1:123" ht="30" customHeight="1">
      <c r="A567" s="5"/>
      <c r="B567" s="1054"/>
      <c r="C567" s="1054"/>
      <c r="D567" s="1054"/>
      <c r="E567" s="1054"/>
      <c r="F567" s="1054"/>
      <c r="G567" s="1054"/>
      <c r="H567" s="1054"/>
      <c r="I567" s="1054"/>
      <c r="J567" s="1054"/>
      <c r="K567" s="1054"/>
      <c r="L567" s="1054"/>
      <c r="M567" s="1054"/>
      <c r="N567" s="1054"/>
      <c r="O567" s="1054"/>
      <c r="P567" s="1054"/>
      <c r="Q567" s="1054"/>
      <c r="R567" s="1054"/>
      <c r="S567" s="1054"/>
      <c r="T567" s="1054"/>
      <c r="U567" s="1054"/>
      <c r="V567" s="1054"/>
      <c r="W567" s="1054"/>
      <c r="X567" s="445"/>
      <c r="Y567" s="293"/>
      <c r="Z567" s="293"/>
      <c r="AA567" s="293"/>
      <c r="AB567" s="293"/>
      <c r="AC567" s="293"/>
      <c r="AD567" s="293"/>
      <c r="AE567" s="293"/>
      <c r="AF567" s="293"/>
      <c r="AG567" s="293"/>
      <c r="AH567" s="367"/>
      <c r="AI567" s="293"/>
      <c r="AJ567" s="293"/>
      <c r="AK567" s="293"/>
      <c r="AL567" s="293"/>
      <c r="AM567" s="293"/>
      <c r="AQ567" s="293"/>
      <c r="AR567" s="293"/>
      <c r="AS567" s="293"/>
      <c r="AT567" s="293"/>
      <c r="AU567" s="293"/>
      <c r="AV567" s="293"/>
      <c r="BD567" s="293"/>
      <c r="BE567" s="293"/>
      <c r="BF567" s="293"/>
      <c r="BG567" s="293"/>
      <c r="BH567" s="293"/>
      <c r="BI567" s="293"/>
      <c r="BJ567" s="293"/>
      <c r="BK567" s="293"/>
      <c r="BS567" s="293"/>
      <c r="BT567" s="293"/>
      <c r="BU567" s="293"/>
      <c r="BV567" s="293"/>
      <c r="BW567" s="293"/>
      <c r="BX567" s="293"/>
      <c r="BY567" s="293"/>
      <c r="BZ567" s="293"/>
      <c r="CH567" s="293"/>
      <c r="CI567" s="293"/>
      <c r="CJ567" s="293"/>
      <c r="CK567" s="293"/>
      <c r="CL567" s="293"/>
      <c r="CM567" s="293"/>
      <c r="CN567" s="293"/>
      <c r="CO567" s="293"/>
      <c r="CW567" s="293"/>
      <c r="CX567" s="293"/>
      <c r="CY567" s="293"/>
      <c r="CZ567" s="293"/>
      <c r="DA567" s="293"/>
      <c r="DB567" s="293"/>
      <c r="DC567" s="293"/>
      <c r="DD567" s="293"/>
      <c r="DL567" s="293"/>
      <c r="DM567" s="293"/>
      <c r="DN567" s="293"/>
      <c r="DO567" s="293"/>
      <c r="DP567" s="293"/>
      <c r="DQ567" s="293"/>
      <c r="DR567" s="293"/>
      <c r="DS567" s="293"/>
    </row>
    <row r="568" spans="1:123" ht="3.75" customHeight="1">
      <c r="A568" s="445"/>
      <c r="B568" s="445"/>
      <c r="C568" s="445"/>
      <c r="D568" s="445"/>
      <c r="E568" s="445"/>
      <c r="F568" s="445"/>
      <c r="G568" s="445"/>
      <c r="H568" s="445"/>
      <c r="I568" s="445"/>
      <c r="J568" s="445"/>
      <c r="K568" s="445"/>
      <c r="L568" s="445"/>
      <c r="M568" s="445"/>
      <c r="N568" s="445"/>
      <c r="O568" s="445"/>
      <c r="P568" s="445"/>
      <c r="Q568" s="445"/>
      <c r="R568" s="445"/>
      <c r="S568" s="445"/>
      <c r="T568" s="445"/>
      <c r="U568" s="445"/>
      <c r="V568" s="445"/>
      <c r="W568" s="445"/>
      <c r="X568" s="445"/>
      <c r="Y568" s="293"/>
      <c r="Z568" s="293"/>
      <c r="AA568" s="293"/>
      <c r="AB568" s="293"/>
      <c r="AC568" s="293"/>
      <c r="AD568" s="293"/>
      <c r="AE568" s="293"/>
      <c r="AF568" s="293"/>
      <c r="AG568" s="293"/>
      <c r="AH568" s="367"/>
      <c r="AQ568" s="293"/>
      <c r="AR568" s="293"/>
      <c r="AS568" s="293"/>
      <c r="AT568" s="293"/>
      <c r="AU568" s="293"/>
      <c r="AV568" s="293"/>
      <c r="BD568" s="293"/>
      <c r="BE568" s="293"/>
      <c r="BF568" s="293"/>
      <c r="BG568" s="293"/>
      <c r="BH568" s="293"/>
      <c r="BI568" s="293"/>
      <c r="BJ568" s="293"/>
      <c r="BK568" s="293"/>
      <c r="BS568" s="293"/>
      <c r="BT568" s="293"/>
      <c r="BU568" s="293"/>
      <c r="BV568" s="293"/>
      <c r="BW568" s="293"/>
      <c r="BX568" s="293"/>
      <c r="BY568" s="293"/>
      <c r="BZ568" s="293"/>
      <c r="CH568" s="293"/>
      <c r="CI568" s="293"/>
      <c r="CJ568" s="293"/>
      <c r="CK568" s="293"/>
      <c r="CL568" s="293"/>
      <c r="CM568" s="293"/>
      <c r="CN568" s="293"/>
      <c r="CO568" s="293"/>
      <c r="CW568" s="293"/>
      <c r="CX568" s="293"/>
      <c r="CY568" s="293"/>
      <c r="CZ568" s="293"/>
      <c r="DA568" s="293"/>
      <c r="DB568" s="293"/>
      <c r="DC568" s="293"/>
      <c r="DD568" s="293"/>
      <c r="DL568" s="293"/>
      <c r="DM568" s="293"/>
      <c r="DN568" s="293"/>
      <c r="DO568" s="293"/>
      <c r="DP568" s="293"/>
      <c r="DQ568" s="293"/>
      <c r="DR568" s="293"/>
      <c r="DS568" s="293"/>
    </row>
    <row r="569" spans="1:34" ht="18.75">
      <c r="A569" s="510">
        <f>SUM(A570:A582)</f>
        <v>1</v>
      </c>
      <c r="B569" s="1062" t="str">
        <f>IF(A569=12,"Экспертное заключение ГОТОВО к печати","ЭЗ не готово к печати")</f>
        <v>ЭЗ не готово к печати</v>
      </c>
      <c r="C569" s="1062"/>
      <c r="D569" s="1062"/>
      <c r="E569" s="1062"/>
      <c r="F569" s="1062"/>
      <c r="G569" s="1062"/>
      <c r="H569" s="1062"/>
      <c r="I569" s="1062"/>
      <c r="J569" s="1062"/>
      <c r="K569" s="1062"/>
      <c r="L569" s="1062"/>
      <c r="M569" s="1062"/>
      <c r="N569" s="1062"/>
      <c r="O569" s="1062"/>
      <c r="P569" s="1062"/>
      <c r="Q569" s="1062"/>
      <c r="R569" s="1062"/>
      <c r="S569" s="1062"/>
      <c r="T569" s="1062"/>
      <c r="U569" s="1062"/>
      <c r="V569" s="1062"/>
      <c r="W569" s="511"/>
      <c r="X569" s="445"/>
      <c r="Y569" s="293"/>
      <c r="Z569" s="293"/>
      <c r="AA569" s="293"/>
      <c r="AB569" s="293"/>
      <c r="AC569" s="293"/>
      <c r="AD569" s="293"/>
      <c r="AE569" s="293"/>
      <c r="AF569" s="293"/>
      <c r="AG569" s="293"/>
      <c r="AH569" s="367"/>
    </row>
    <row r="570" spans="1:34" ht="15">
      <c r="A570" s="446">
        <f>IF(M570=" + ",1,0)</f>
        <v>0</v>
      </c>
      <c r="B570" s="447" t="s">
        <v>9</v>
      </c>
      <c r="C570" s="447"/>
      <c r="D570" s="447"/>
      <c r="E570" s="447"/>
      <c r="F570" s="447"/>
      <c r="G570" s="447"/>
      <c r="H570" s="447"/>
      <c r="I570" s="447"/>
      <c r="J570" s="447"/>
      <c r="K570" s="447"/>
      <c r="L570" s="447"/>
      <c r="M570" s="448" t="str">
        <f>IF(FIO&lt;&gt;""," + ","не заполнено")</f>
        <v>не заполнено</v>
      </c>
      <c r="N570" s="447"/>
      <c r="O570" s="447"/>
      <c r="P570" s="447"/>
      <c r="Q570" s="447"/>
      <c r="R570" s="447"/>
      <c r="S570" s="447"/>
      <c r="T570" s="447"/>
      <c r="U570" s="447"/>
      <c r="V570" s="447"/>
      <c r="W570" s="447"/>
      <c r="X570" s="445"/>
      <c r="Y570" s="293"/>
      <c r="Z570" s="293"/>
      <c r="AA570" s="293"/>
      <c r="AB570" s="293"/>
      <c r="AC570" s="293"/>
      <c r="AD570" s="293"/>
      <c r="AE570" s="293"/>
      <c r="AF570" s="293"/>
      <c r="AG570" s="293"/>
      <c r="AH570" s="367"/>
    </row>
    <row r="571" spans="1:34" ht="15">
      <c r="A571" s="446">
        <f aca="true" t="shared" si="1" ref="A571:A582">IF(M571=" + ",1,0)</f>
        <v>0</v>
      </c>
      <c r="B571" s="449" t="s">
        <v>11</v>
      </c>
      <c r="C571" s="449"/>
      <c r="D571" s="449"/>
      <c r="E571" s="449"/>
      <c r="F571" s="449"/>
      <c r="G571" s="449"/>
      <c r="H571" s="449"/>
      <c r="I571" s="449"/>
      <c r="J571" s="449"/>
      <c r="K571" s="449"/>
      <c r="L571" s="449"/>
      <c r="M571" s="450" t="str">
        <f>IF(C48&lt;&gt;""," + ","не заполнено")</f>
        <v>не заполнено</v>
      </c>
      <c r="N571" s="449"/>
      <c r="O571" s="449"/>
      <c r="P571" s="449"/>
      <c r="Q571" s="449"/>
      <c r="R571" s="449"/>
      <c r="S571" s="449"/>
      <c r="T571" s="449"/>
      <c r="U571" s="449"/>
      <c r="V571" s="449"/>
      <c r="W571" s="449"/>
      <c r="X571" s="445"/>
      <c r="Y571" s="293"/>
      <c r="Z571" s="293"/>
      <c r="AA571" s="293"/>
      <c r="AB571" s="293"/>
      <c r="AC571" s="293"/>
      <c r="AD571" s="293"/>
      <c r="AE571" s="293"/>
      <c r="AF571" s="293"/>
      <c r="AG571" s="293"/>
      <c r="AH571" s="367"/>
    </row>
    <row r="572" spans="1:34" ht="15">
      <c r="A572" s="446">
        <f t="shared" si="1"/>
        <v>0</v>
      </c>
      <c r="B572" s="449" t="s">
        <v>10</v>
      </c>
      <c r="C572" s="449"/>
      <c r="D572" s="449"/>
      <c r="E572" s="449"/>
      <c r="F572" s="449"/>
      <c r="G572" s="449"/>
      <c r="H572" s="449"/>
      <c r="I572" s="449"/>
      <c r="J572" s="449"/>
      <c r="K572" s="449"/>
      <c r="L572" s="449"/>
      <c r="M572" s="450" t="str">
        <f>IF(E51&lt;&gt;""," + ","не заполнено")</f>
        <v>не заполнено</v>
      </c>
      <c r="N572" s="449"/>
      <c r="O572" s="449"/>
      <c r="P572" s="449"/>
      <c r="Q572" s="449"/>
      <c r="R572" s="449"/>
      <c r="S572" s="449"/>
      <c r="T572" s="449"/>
      <c r="U572" s="449"/>
      <c r="V572" s="449"/>
      <c r="W572" s="449"/>
      <c r="X572" s="445"/>
      <c r="Y572" s="293"/>
      <c r="Z572" s="293"/>
      <c r="AA572" s="293"/>
      <c r="AB572" s="293"/>
      <c r="AC572" s="293"/>
      <c r="AD572" s="293"/>
      <c r="AE572" s="293"/>
      <c r="AF572" s="293"/>
      <c r="AG572" s="293"/>
      <c r="AH572" s="367"/>
    </row>
    <row r="573" spans="1:34" ht="15">
      <c r="A573" s="446">
        <f t="shared" si="1"/>
        <v>0</v>
      </c>
      <c r="B573" s="449" t="s">
        <v>12</v>
      </c>
      <c r="C573" s="449"/>
      <c r="D573" s="449"/>
      <c r="E573" s="449"/>
      <c r="F573" s="449"/>
      <c r="G573" s="449"/>
      <c r="H573" s="449"/>
      <c r="I573" s="449"/>
      <c r="J573" s="449"/>
      <c r="K573" s="449"/>
      <c r="L573" s="449"/>
      <c r="M573" s="450" t="str">
        <f>IF(D52&lt;&gt;""," + ","не заполнено")</f>
        <v>не заполнено</v>
      </c>
      <c r="N573" s="449"/>
      <c r="O573" s="449"/>
      <c r="P573" s="449"/>
      <c r="Q573" s="449"/>
      <c r="R573" s="449"/>
      <c r="S573" s="449"/>
      <c r="T573" s="449"/>
      <c r="U573" s="449"/>
      <c r="V573" s="449"/>
      <c r="W573" s="449"/>
      <c r="X573" s="445"/>
      <c r="Y573" s="293"/>
      <c r="Z573" s="293"/>
      <c r="AA573" s="293"/>
      <c r="AB573" s="293"/>
      <c r="AC573" s="293"/>
      <c r="AD573" s="293"/>
      <c r="AE573" s="293"/>
      <c r="AF573" s="293"/>
      <c r="AG573" s="293"/>
      <c r="AH573" s="367"/>
    </row>
    <row r="574" spans="1:34" ht="15">
      <c r="A574" s="446">
        <f t="shared" si="1"/>
        <v>1</v>
      </c>
      <c r="B574" s="449" t="s">
        <v>14</v>
      </c>
      <c r="C574" s="449"/>
      <c r="D574" s="449"/>
      <c r="E574" s="449"/>
      <c r="F574" s="449"/>
      <c r="G574" s="449"/>
      <c r="H574" s="449"/>
      <c r="I574" s="449"/>
      <c r="J574" s="449"/>
      <c r="K574" s="449"/>
      <c r="L574" s="449"/>
      <c r="M574" s="450" t="str">
        <f>IF(E54&gt;0," + ","не заполнено")</f>
        <v> + </v>
      </c>
      <c r="N574" s="449"/>
      <c r="O574" s="449"/>
      <c r="P574" s="449"/>
      <c r="Q574" s="449"/>
      <c r="R574" s="449"/>
      <c r="S574" s="449"/>
      <c r="T574" s="449"/>
      <c r="U574" s="449"/>
      <c r="V574" s="449"/>
      <c r="W574" s="449"/>
      <c r="X574" s="445"/>
      <c r="Y574" s="293"/>
      <c r="Z574" s="293"/>
      <c r="AA574" s="293"/>
      <c r="AB574" s="293"/>
      <c r="AC574" s="293"/>
      <c r="AD574" s="293"/>
      <c r="AE574" s="293"/>
      <c r="AF574" s="293"/>
      <c r="AG574" s="293"/>
      <c r="AH574" s="367"/>
    </row>
    <row r="575" spans="1:34" ht="15">
      <c r="A575" s="446">
        <f t="shared" si="1"/>
        <v>0</v>
      </c>
      <c r="B575" s="449" t="s">
        <v>15</v>
      </c>
      <c r="C575" s="449"/>
      <c r="D575" s="449"/>
      <c r="E575" s="449"/>
      <c r="F575" s="449"/>
      <c r="G575" s="449"/>
      <c r="H575" s="449"/>
      <c r="I575" s="449"/>
      <c r="J575" s="449"/>
      <c r="K575" s="449"/>
      <c r="L575" s="449"/>
      <c r="M575" s="450" t="str">
        <f>IF(G55&lt;&gt;""," + ","не заполнено")</f>
        <v>не заполнено</v>
      </c>
      <c r="N575" s="449"/>
      <c r="O575" s="449"/>
      <c r="P575" s="449"/>
      <c r="Q575" s="449"/>
      <c r="R575" s="449"/>
      <c r="S575" s="449"/>
      <c r="T575" s="449"/>
      <c r="U575" s="449"/>
      <c r="V575" s="449"/>
      <c r="W575" s="449"/>
      <c r="X575" s="445"/>
      <c r="Y575" s="293"/>
      <c r="Z575" s="293"/>
      <c r="AA575" s="293"/>
      <c r="AB575" s="293"/>
      <c r="AC575" s="293"/>
      <c r="AD575" s="293"/>
      <c r="AE575" s="293"/>
      <c r="AF575" s="293"/>
      <c r="AG575" s="293"/>
      <c r="AH575" s="367"/>
    </row>
    <row r="576" spans="1:34" ht="15">
      <c r="A576" s="446">
        <f t="shared" si="1"/>
        <v>0</v>
      </c>
      <c r="B576" s="451" t="s">
        <v>640</v>
      </c>
      <c r="C576" s="449"/>
      <c r="D576" s="449"/>
      <c r="E576" s="449"/>
      <c r="F576" s="449"/>
      <c r="G576" s="449"/>
      <c r="H576" s="449"/>
      <c r="I576" s="449"/>
      <c r="J576" s="449"/>
      <c r="K576" s="449"/>
      <c r="L576" s="449"/>
      <c r="M576" s="450" t="str">
        <f>IF(P55&lt;&gt;""," + ",IF(G55="нет"," + ","не заполнено"))</f>
        <v>не заполнено</v>
      </c>
      <c r="N576" s="449"/>
      <c r="O576" s="449"/>
      <c r="P576" s="449"/>
      <c r="Q576" s="449"/>
      <c r="R576" s="449"/>
      <c r="S576" s="449"/>
      <c r="T576" s="449"/>
      <c r="U576" s="449"/>
      <c r="V576" s="449"/>
      <c r="W576" s="449"/>
      <c r="X576" s="445"/>
      <c r="Y576" s="293"/>
      <c r="Z576" s="293"/>
      <c r="AA576" s="293"/>
      <c r="AB576" s="293"/>
      <c r="AC576" s="293"/>
      <c r="AD576" s="293"/>
      <c r="AE576" s="293"/>
      <c r="AF576" s="293"/>
      <c r="AG576" s="293"/>
      <c r="AH576" s="367"/>
    </row>
    <row r="577" spans="1:34" ht="15">
      <c r="A577" s="446">
        <f t="shared" si="1"/>
        <v>0</v>
      </c>
      <c r="B577" s="449" t="s">
        <v>18</v>
      </c>
      <c r="C577" s="449"/>
      <c r="D577" s="449"/>
      <c r="E577" s="449"/>
      <c r="F577" s="449"/>
      <c r="G577" s="449"/>
      <c r="H577" s="449"/>
      <c r="I577" s="449"/>
      <c r="J577" s="449"/>
      <c r="K577" s="449"/>
      <c r="L577" s="449"/>
      <c r="M577" s="450" t="str">
        <f>IF(z_kateg&lt;&gt;""," + "," - ")</f>
        <v> - </v>
      </c>
      <c r="N577" s="631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77" s="449"/>
      <c r="P577" s="449"/>
      <c r="Q577" s="449"/>
      <c r="R577" s="449"/>
      <c r="S577" s="449"/>
      <c r="T577" s="449"/>
      <c r="U577" s="449"/>
      <c r="V577" s="449"/>
      <c r="W577" s="449"/>
      <c r="X577" s="445"/>
      <c r="Y577" s="293"/>
      <c r="Z577" s="293"/>
      <c r="AA577" s="293"/>
      <c r="AB577" s="293"/>
      <c r="AC577" s="293"/>
      <c r="AD577" s="293"/>
      <c r="AE577" s="293"/>
      <c r="AF577" s="293"/>
      <c r="AG577" s="293"/>
      <c r="AH577" s="367"/>
    </row>
    <row r="578" spans="1:34" ht="15">
      <c r="A578" s="446">
        <f t="shared" si="1"/>
        <v>0</v>
      </c>
      <c r="B578" s="449" t="s">
        <v>240</v>
      </c>
      <c r="C578" s="449"/>
      <c r="D578" s="449"/>
      <c r="E578" s="449"/>
      <c r="F578" s="449"/>
      <c r="G578" s="449"/>
      <c r="H578" s="449"/>
      <c r="I578" s="449"/>
      <c r="J578" s="449"/>
      <c r="K578" s="449"/>
      <c r="L578" s="449"/>
      <c r="M578" s="450" t="str">
        <f>IF(H92&lt;&gt;""," + ","не заполнено")</f>
        <v>не заполнено</v>
      </c>
      <c r="N578" s="449"/>
      <c r="O578" s="449"/>
      <c r="P578" s="449"/>
      <c r="Q578" s="449"/>
      <c r="R578" s="449"/>
      <c r="S578" s="449"/>
      <c r="T578" s="449"/>
      <c r="U578" s="449"/>
      <c r="V578" s="449"/>
      <c r="W578" s="449"/>
      <c r="X578" s="445"/>
      <c r="Y578" s="293"/>
      <c r="Z578" s="293"/>
      <c r="AA578" s="293"/>
      <c r="AB578" s="293"/>
      <c r="AC578" s="293"/>
      <c r="AD578" s="293"/>
      <c r="AE578" s="293"/>
      <c r="AF578" s="293"/>
      <c r="AG578" s="293"/>
      <c r="AH578" s="367"/>
    </row>
    <row r="579" spans="1:34" ht="15">
      <c r="A579" s="446">
        <f t="shared" si="1"/>
        <v>0</v>
      </c>
      <c r="B579" s="449" t="s">
        <v>257</v>
      </c>
      <c r="C579" s="449"/>
      <c r="D579" s="449"/>
      <c r="E579" s="449"/>
      <c r="F579" s="449"/>
      <c r="G579" s="449"/>
      <c r="H579" s="449"/>
      <c r="I579" s="449"/>
      <c r="J579" s="449"/>
      <c r="K579" s="451" t="s">
        <v>53</v>
      </c>
      <c r="L579" s="449"/>
      <c r="M579" s="450" t="str">
        <f>IF(H94&lt;&gt;""," + ","не заполнено")</f>
        <v>не заполнено</v>
      </c>
      <c r="N579" s="449"/>
      <c r="O579" s="449"/>
      <c r="P579" s="449"/>
      <c r="Q579" s="449"/>
      <c r="R579" s="449"/>
      <c r="S579" s="449"/>
      <c r="T579" s="449"/>
      <c r="U579" s="449"/>
      <c r="V579" s="449"/>
      <c r="W579" s="449"/>
      <c r="X579" s="445"/>
      <c r="Y579" s="293"/>
      <c r="Z579" s="293"/>
      <c r="AA579" s="293"/>
      <c r="AB579" s="293"/>
      <c r="AC579" s="293"/>
      <c r="AD579" s="293"/>
      <c r="AE579" s="293"/>
      <c r="AF579" s="293"/>
      <c r="AG579" s="293"/>
      <c r="AH579" s="367"/>
    </row>
    <row r="580" spans="1:34" ht="15">
      <c r="A580" s="446">
        <f t="shared" si="1"/>
        <v>0</v>
      </c>
      <c r="B580" s="449"/>
      <c r="C580" s="449"/>
      <c r="D580" s="449"/>
      <c r="E580" s="449"/>
      <c r="F580" s="449"/>
      <c r="G580" s="449"/>
      <c r="H580" s="449"/>
      <c r="I580" s="449"/>
      <c r="J580" s="449"/>
      <c r="K580" s="451" t="s">
        <v>258</v>
      </c>
      <c r="L580" s="449"/>
      <c r="M580" s="450" t="str">
        <f>IF(AND('общие сведения'!$F$110&gt;1,H96=""),"не заполнено",IF(AND('общие сведения'!$F$110&lt;2,H96&lt;&gt;""),"кол-во экспертов не предусматривает наличие второго"," + "))</f>
        <v>не заполнено</v>
      </c>
      <c r="N580" s="449"/>
      <c r="O580" s="449"/>
      <c r="P580" s="449"/>
      <c r="Q580" s="449"/>
      <c r="R580" s="449"/>
      <c r="S580" s="449"/>
      <c r="T580" s="449"/>
      <c r="U580" s="449"/>
      <c r="V580" s="449"/>
      <c r="W580" s="449"/>
      <c r="X580" s="445"/>
      <c r="Y580" s="293"/>
      <c r="Z580" s="293"/>
      <c r="AA580" s="293"/>
      <c r="AB580" s="293"/>
      <c r="AC580" s="293"/>
      <c r="AD580" s="293"/>
      <c r="AE580" s="293"/>
      <c r="AF580" s="293"/>
      <c r="AG580" s="293"/>
      <c r="AH580" s="367"/>
    </row>
    <row r="581" spans="1:34" ht="2.25" customHeight="1">
      <c r="A581" s="446">
        <f>IF(M581=" + ",1,0)</f>
        <v>0</v>
      </c>
      <c r="B581" s="449"/>
      <c r="C581" s="449"/>
      <c r="D581" s="449"/>
      <c r="E581" s="449"/>
      <c r="F581" s="449"/>
      <c r="G581" s="449"/>
      <c r="H581" s="449"/>
      <c r="I581" s="449"/>
      <c r="J581" s="449"/>
      <c r="K581" s="449"/>
      <c r="L581" s="449"/>
      <c r="M581" s="452"/>
      <c r="N581" s="449"/>
      <c r="O581" s="449"/>
      <c r="P581" s="449"/>
      <c r="Q581" s="449"/>
      <c r="R581" s="449"/>
      <c r="S581" s="449"/>
      <c r="T581" s="449"/>
      <c r="U581" s="449"/>
      <c r="V581" s="449"/>
      <c r="W581" s="449"/>
      <c r="X581" s="445"/>
      <c r="Y581" s="293"/>
      <c r="Z581" s="293"/>
      <c r="AA581" s="293"/>
      <c r="AB581" s="293"/>
      <c r="AC581" s="293"/>
      <c r="AD581" s="293"/>
      <c r="AE581" s="293"/>
      <c r="AF581" s="293"/>
      <c r="AG581" s="293"/>
      <c r="AH581" s="367"/>
    </row>
    <row r="582" spans="1:34" ht="15">
      <c r="A582" s="446">
        <f t="shared" si="1"/>
        <v>0</v>
      </c>
      <c r="B582" s="449" t="s">
        <v>259</v>
      </c>
      <c r="C582" s="449"/>
      <c r="D582" s="449"/>
      <c r="E582" s="449"/>
      <c r="F582" s="449"/>
      <c r="G582" s="449"/>
      <c r="H582" s="449"/>
      <c r="I582" s="449"/>
      <c r="J582" s="449"/>
      <c r="K582" s="449"/>
      <c r="L582" s="449"/>
      <c r="M582" s="450" t="str">
        <f>IF(Всего&lt;&gt;""," + ","не заполнено - подсчет автоматический")</f>
        <v>не заполнено - подсчет автоматический</v>
      </c>
      <c r="N582" s="449"/>
      <c r="O582" s="449"/>
      <c r="P582" s="449"/>
      <c r="Q582" s="449"/>
      <c r="R582" s="449"/>
      <c r="S582" s="449"/>
      <c r="T582" s="449"/>
      <c r="U582" s="449"/>
      <c r="V582" s="449"/>
      <c r="W582" s="449"/>
      <c r="X582" s="445"/>
      <c r="Y582" s="293"/>
      <c r="Z582" s="293"/>
      <c r="AA582" s="293"/>
      <c r="AB582" s="293"/>
      <c r="AC582" s="293"/>
      <c r="AD582" s="293"/>
      <c r="AE582" s="293"/>
      <c r="AF582" s="293"/>
      <c r="AG582" s="293"/>
      <c r="AH582" s="367"/>
    </row>
    <row r="583" spans="1:34" ht="6" customHeight="1">
      <c r="A583" s="446"/>
      <c r="B583" s="453"/>
      <c r="C583" s="453"/>
      <c r="D583" s="453"/>
      <c r="E583" s="453"/>
      <c r="F583" s="453"/>
      <c r="G583" s="453"/>
      <c r="H583" s="453"/>
      <c r="I583" s="453"/>
      <c r="J583" s="453"/>
      <c r="K583" s="453"/>
      <c r="L583" s="453"/>
      <c r="M583" s="454"/>
      <c r="N583" s="453"/>
      <c r="O583" s="453"/>
      <c r="P583" s="453"/>
      <c r="Q583" s="453"/>
      <c r="R583" s="453"/>
      <c r="S583" s="453"/>
      <c r="T583" s="453"/>
      <c r="U583" s="453"/>
      <c r="V583" s="453"/>
      <c r="W583" s="453"/>
      <c r="X583" s="445"/>
      <c r="Y583" s="293"/>
      <c r="Z583" s="293"/>
      <c r="AA583" s="293"/>
      <c r="AB583" s="293"/>
      <c r="AC583" s="293"/>
      <c r="AD583" s="293"/>
      <c r="AE583" s="293"/>
      <c r="AF583" s="293"/>
      <c r="AG583" s="293"/>
      <c r="AH583" s="367"/>
    </row>
    <row r="584" spans="1:123" ht="12.75">
      <c r="A584" s="455"/>
      <c r="B584" s="456" t="str">
        <f>IF($B$569="Экспертное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84" s="367"/>
      <c r="D584" s="367"/>
      <c r="E584" s="367"/>
      <c r="F584" s="367"/>
      <c r="G584" s="367"/>
      <c r="H584" s="367"/>
      <c r="I584" s="367"/>
      <c r="J584" s="367"/>
      <c r="K584" s="367"/>
      <c r="L584" s="367"/>
      <c r="M584" s="367"/>
      <c r="N584" s="367"/>
      <c r="O584" s="367"/>
      <c r="P584" s="367"/>
      <c r="Q584" s="367"/>
      <c r="R584" s="367"/>
      <c r="S584" s="367"/>
      <c r="T584" s="367"/>
      <c r="U584" s="367"/>
      <c r="V584" s="367"/>
      <c r="W584" s="367"/>
      <c r="X584" s="445"/>
      <c r="Y584" s="293"/>
      <c r="Z584" s="293"/>
      <c r="AA584" s="293"/>
      <c r="AB584" s="293"/>
      <c r="AC584" s="293"/>
      <c r="AD584" s="293"/>
      <c r="AE584" s="293"/>
      <c r="AF584" s="293"/>
      <c r="AG584" s="293"/>
      <c r="AH584" s="367"/>
      <c r="AQ584" s="293"/>
      <c r="AR584" s="293"/>
      <c r="AS584" s="293"/>
      <c r="AT584" s="293"/>
      <c r="AU584" s="293"/>
      <c r="AV584" s="293"/>
      <c r="BD584" s="293"/>
      <c r="BE584" s="293"/>
      <c r="BF584" s="293"/>
      <c r="BG584" s="293"/>
      <c r="BH584" s="293"/>
      <c r="BI584" s="293"/>
      <c r="BJ584" s="293"/>
      <c r="BK584" s="293"/>
      <c r="BS584" s="293"/>
      <c r="BT584" s="293"/>
      <c r="BU584" s="293"/>
      <c r="BV584" s="293"/>
      <c r="BW584" s="293"/>
      <c r="BX584" s="293"/>
      <c r="BY584" s="293"/>
      <c r="BZ584" s="293"/>
      <c r="CH584" s="293"/>
      <c r="CI584" s="293"/>
      <c r="CJ584" s="293"/>
      <c r="CK584" s="293"/>
      <c r="CL584" s="293"/>
      <c r="CM584" s="293"/>
      <c r="CN584" s="293"/>
      <c r="CO584" s="293"/>
      <c r="CW584" s="293"/>
      <c r="CX584" s="293"/>
      <c r="CY584" s="293"/>
      <c r="CZ584" s="293"/>
      <c r="DA584" s="293"/>
      <c r="DB584" s="293"/>
      <c r="DC584" s="293"/>
      <c r="DD584" s="293"/>
      <c r="DL584" s="293"/>
      <c r="DM584" s="293"/>
      <c r="DN584" s="293"/>
      <c r="DO584" s="293"/>
      <c r="DP584" s="293"/>
      <c r="DQ584" s="293"/>
      <c r="DR584" s="293"/>
      <c r="DS584" s="293"/>
    </row>
    <row r="585" spans="1:34" ht="12.75">
      <c r="A585" s="455"/>
      <c r="B585" s="456">
        <f>IF($B$569="Экспертное заключение ГОТОВО к печати"," Печать ЭЗ:    меню Файл-Печать   или    комбинация клавиш  CTRL+P. ","")</f>
      </c>
      <c r="C585" s="367"/>
      <c r="D585" s="367"/>
      <c r="E585" s="367"/>
      <c r="F585" s="367"/>
      <c r="G585" s="367"/>
      <c r="H585" s="367"/>
      <c r="I585" s="367"/>
      <c r="J585" s="367"/>
      <c r="K585" s="367"/>
      <c r="L585" s="367"/>
      <c r="M585" s="367"/>
      <c r="N585" s="367"/>
      <c r="O585" s="367"/>
      <c r="P585" s="367"/>
      <c r="Q585" s="367"/>
      <c r="R585" s="367"/>
      <c r="S585" s="367"/>
      <c r="T585" s="367"/>
      <c r="U585" s="367"/>
      <c r="V585" s="367"/>
      <c r="W585" s="367"/>
      <c r="X585" s="445"/>
      <c r="Y585" s="293"/>
      <c r="Z585" s="293"/>
      <c r="AA585" s="293"/>
      <c r="AB585" s="293"/>
      <c r="AC585" s="293"/>
      <c r="AD585" s="293"/>
      <c r="AE585" s="293"/>
      <c r="AF585" s="293"/>
      <c r="AG585" s="293"/>
      <c r="AH585" s="367"/>
    </row>
    <row r="586" spans="2:34" ht="12.75">
      <c r="B586" s="377"/>
      <c r="Y586" s="293"/>
      <c r="Z586" s="293"/>
      <c r="AA586" s="293"/>
      <c r="AB586" s="293"/>
      <c r="AC586" s="293"/>
      <c r="AD586" s="293"/>
      <c r="AE586" s="293"/>
      <c r="AF586" s="293"/>
      <c r="AG586" s="293"/>
      <c r="AH586" s="367"/>
    </row>
    <row r="587" spans="1:33" ht="15.75">
      <c r="A587" s="295"/>
      <c r="B587" s="1051" t="s">
        <v>260</v>
      </c>
      <c r="C587" s="1052"/>
      <c r="D587" s="1052"/>
      <c r="E587" s="1052"/>
      <c r="F587" s="1052"/>
      <c r="G587" s="1052"/>
      <c r="H587" s="1052"/>
      <c r="I587" s="1052"/>
      <c r="J587" s="1052"/>
      <c r="K587" s="1052"/>
      <c r="L587" s="1052"/>
      <c r="M587" s="1052"/>
      <c r="N587" s="1052"/>
      <c r="O587" s="1052"/>
      <c r="P587" s="1052"/>
      <c r="Q587" s="1052"/>
      <c r="R587" s="1052"/>
      <c r="S587" s="1052"/>
      <c r="T587" s="1052"/>
      <c r="U587" s="1052"/>
      <c r="V587" s="1053"/>
      <c r="W587" s="295"/>
      <c r="Y587" s="293"/>
      <c r="Z587" s="293"/>
      <c r="AA587" s="293"/>
      <c r="AB587" s="293"/>
      <c r="AC587" s="293"/>
      <c r="AD587" s="293"/>
      <c r="AE587" s="293"/>
      <c r="AF587" s="293"/>
      <c r="AG587" s="293"/>
    </row>
    <row r="588" spans="23:33" ht="4.5" customHeight="1">
      <c r="W588" s="257"/>
      <c r="Y588" s="293"/>
      <c r="Z588" s="293"/>
      <c r="AA588" s="293"/>
      <c r="AB588" s="293"/>
      <c r="AC588" s="293"/>
      <c r="AD588" s="293"/>
      <c r="AE588" s="293"/>
      <c r="AF588" s="293"/>
      <c r="AG588" s="293"/>
    </row>
    <row r="589" spans="1:33" ht="15.75">
      <c r="A589" s="295"/>
      <c r="B589" s="1051" t="s">
        <v>261</v>
      </c>
      <c r="C589" s="1052"/>
      <c r="D589" s="1052"/>
      <c r="E589" s="1052"/>
      <c r="F589" s="1052"/>
      <c r="G589" s="1052"/>
      <c r="H589" s="1052"/>
      <c r="I589" s="1052"/>
      <c r="J589" s="1052"/>
      <c r="K589" s="1052"/>
      <c r="L589" s="1052"/>
      <c r="M589" s="1052"/>
      <c r="N589" s="1052"/>
      <c r="O589" s="1052"/>
      <c r="P589" s="1052"/>
      <c r="Q589" s="1052"/>
      <c r="R589" s="1052"/>
      <c r="S589" s="1052"/>
      <c r="T589" s="1052"/>
      <c r="U589" s="1052"/>
      <c r="V589" s="1053"/>
      <c r="W589" s="295"/>
      <c r="Y589" s="293"/>
      <c r="Z589" s="293"/>
      <c r="AA589" s="293"/>
      <c r="AB589" s="293"/>
      <c r="AC589" s="293"/>
      <c r="AD589" s="293"/>
      <c r="AE589" s="293"/>
      <c r="AF589" s="293"/>
      <c r="AG589" s="293"/>
    </row>
    <row r="590" spans="23:33" ht="12.75">
      <c r="W590" s="257"/>
      <c r="Y590" s="293"/>
      <c r="Z590" s="293"/>
      <c r="AA590" s="293"/>
      <c r="AB590" s="293"/>
      <c r="AC590" s="293"/>
      <c r="AD590" s="293"/>
      <c r="AE590" s="293"/>
      <c r="AF590" s="293"/>
      <c r="AG590" s="293"/>
    </row>
    <row r="591" spans="25:33" ht="12.75">
      <c r="Y591" s="293"/>
      <c r="Z591" s="293"/>
      <c r="AA591" s="293"/>
      <c r="AB591" s="293"/>
      <c r="AC591" s="293"/>
      <c r="AD591" s="293"/>
      <c r="AE591" s="293"/>
      <c r="AF591" s="293"/>
      <c r="AG591" s="293"/>
    </row>
    <row r="592" spans="25:33" ht="12.75">
      <c r="Y592" s="293"/>
      <c r="Z592" s="293"/>
      <c r="AA592" s="293"/>
      <c r="AB592" s="293"/>
      <c r="AC592" s="293"/>
      <c r="AD592" s="293"/>
      <c r="AE592" s="293"/>
      <c r="AF592" s="293"/>
      <c r="AG592" s="293"/>
    </row>
    <row r="593" spans="25:33" ht="12.75">
      <c r="Y593" s="293"/>
      <c r="Z593" s="293"/>
      <c r="AA593" s="293"/>
      <c r="AB593" s="293"/>
      <c r="AC593" s="293"/>
      <c r="AD593" s="293"/>
      <c r="AE593" s="293"/>
      <c r="AF593" s="293"/>
      <c r="AG593" s="293"/>
    </row>
  </sheetData>
  <sheetProtection password="CF6C" sheet="1"/>
  <mergeCells count="668">
    <mergeCell ref="H98:W98"/>
    <mergeCell ref="H99:W99"/>
    <mergeCell ref="K493:O494"/>
    <mergeCell ref="P493:T494"/>
    <mergeCell ref="K495:O496"/>
    <mergeCell ref="P495:T496"/>
    <mergeCell ref="U489:W489"/>
    <mergeCell ref="U490:W491"/>
    <mergeCell ref="P489:T489"/>
    <mergeCell ref="U492:W496"/>
    <mergeCell ref="A490:A498"/>
    <mergeCell ref="B490:E496"/>
    <mergeCell ref="F490:G492"/>
    <mergeCell ref="H490:J492"/>
    <mergeCell ref="K490:O492"/>
    <mergeCell ref="P490:T492"/>
    <mergeCell ref="H493:J496"/>
    <mergeCell ref="B497:E498"/>
    <mergeCell ref="F497:G498"/>
    <mergeCell ref="H497:J498"/>
    <mergeCell ref="U497:W498"/>
    <mergeCell ref="B352:J358"/>
    <mergeCell ref="B337:W341"/>
    <mergeCell ref="B334:W335"/>
    <mergeCell ref="A487:A489"/>
    <mergeCell ref="B487:E489"/>
    <mergeCell ref="F487:W487"/>
    <mergeCell ref="F488:W488"/>
    <mergeCell ref="F489:G489"/>
    <mergeCell ref="H489:J489"/>
    <mergeCell ref="K489:O489"/>
    <mergeCell ref="B374:J377"/>
    <mergeCell ref="B378:J380"/>
    <mergeCell ref="B402:E404"/>
    <mergeCell ref="I404:K404"/>
    <mergeCell ref="F404:H404"/>
    <mergeCell ref="I408:K409"/>
    <mergeCell ref="I410:K411"/>
    <mergeCell ref="I412:K414"/>
    <mergeCell ref="I415:K416"/>
    <mergeCell ref="B367:J370"/>
    <mergeCell ref="B417:E418"/>
    <mergeCell ref="B425:E425"/>
    <mergeCell ref="B419:E424"/>
    <mergeCell ref="A405:A411"/>
    <mergeCell ref="A412:A418"/>
    <mergeCell ref="A419:A425"/>
    <mergeCell ref="B405:E410"/>
    <mergeCell ref="B411:E411"/>
    <mergeCell ref="B412:E416"/>
    <mergeCell ref="A337:A341"/>
    <mergeCell ref="A342:A348"/>
    <mergeCell ref="K375:W375"/>
    <mergeCell ref="I405:K407"/>
    <mergeCell ref="A359:A362"/>
    <mergeCell ref="B381:J384"/>
    <mergeCell ref="A363:A366"/>
    <mergeCell ref="K367:O370"/>
    <mergeCell ref="P367:S370"/>
    <mergeCell ref="T404:W404"/>
    <mergeCell ref="F410:H411"/>
    <mergeCell ref="F402:W402"/>
    <mergeCell ref="F403:W403"/>
    <mergeCell ref="F417:H418"/>
    <mergeCell ref="F405:H407"/>
    <mergeCell ref="F408:H409"/>
    <mergeCell ref="F412:H414"/>
    <mergeCell ref="L416:O416"/>
    <mergeCell ref="L415:O415"/>
    <mergeCell ref="P410:S411"/>
    <mergeCell ref="F424:H425"/>
    <mergeCell ref="I424:K425"/>
    <mergeCell ref="I419:K421"/>
    <mergeCell ref="I422:K423"/>
    <mergeCell ref="F415:H416"/>
    <mergeCell ref="F419:H421"/>
    <mergeCell ref="F422:H423"/>
    <mergeCell ref="I417:K418"/>
    <mergeCell ref="A426:A428"/>
    <mergeCell ref="B426:E428"/>
    <mergeCell ref="F426:W426"/>
    <mergeCell ref="F427:W427"/>
    <mergeCell ref="P428:W428"/>
    <mergeCell ref="F428:H428"/>
    <mergeCell ref="I428:O428"/>
    <mergeCell ref="A429:A435"/>
    <mergeCell ref="B429:E433"/>
    <mergeCell ref="P429:W433"/>
    <mergeCell ref="B434:E435"/>
    <mergeCell ref="P434:W435"/>
    <mergeCell ref="F429:H433"/>
    <mergeCell ref="F434:H435"/>
    <mergeCell ref="I429:O433"/>
    <mergeCell ref="I434:O435"/>
    <mergeCell ref="B444:H446"/>
    <mergeCell ref="B447:H452"/>
    <mergeCell ref="T450:W451"/>
    <mergeCell ref="T446:W446"/>
    <mergeCell ref="L447:O449"/>
    <mergeCell ref="I442:K443"/>
    <mergeCell ref="F442:H443"/>
    <mergeCell ref="P446:S446"/>
    <mergeCell ref="I446:K446"/>
    <mergeCell ref="I447:K449"/>
    <mergeCell ref="I450:K452"/>
    <mergeCell ref="I444:W444"/>
    <mergeCell ref="I445:W445"/>
    <mergeCell ref="B544:G544"/>
    <mergeCell ref="I453:K454"/>
    <mergeCell ref="A447:A454"/>
    <mergeCell ref="B453:H454"/>
    <mergeCell ref="T530:W531"/>
    <mergeCell ref="K497:O498"/>
    <mergeCell ref="P497:T498"/>
    <mergeCell ref="A439:A443"/>
    <mergeCell ref="A465:A467"/>
    <mergeCell ref="B465:H467"/>
    <mergeCell ref="I465:W465"/>
    <mergeCell ref="A444:A446"/>
    <mergeCell ref="L446:O446"/>
    <mergeCell ref="I466:W466"/>
    <mergeCell ref="I467:M467"/>
    <mergeCell ref="N467:R467"/>
    <mergeCell ref="S467:W467"/>
    <mergeCell ref="B569:V569"/>
    <mergeCell ref="B524:J524"/>
    <mergeCell ref="B564:W565"/>
    <mergeCell ref="L538:O539"/>
    <mergeCell ref="P538:S539"/>
    <mergeCell ref="T538:W539"/>
    <mergeCell ref="B528:G531"/>
    <mergeCell ref="P550:Q550"/>
    <mergeCell ref="T532:W532"/>
    <mergeCell ref="T533:W533"/>
    <mergeCell ref="I470:M470"/>
    <mergeCell ref="N470:R470"/>
    <mergeCell ref="S470:W470"/>
    <mergeCell ref="I471:M471"/>
    <mergeCell ref="N471:R471"/>
    <mergeCell ref="S471:W471"/>
    <mergeCell ref="A474:A476"/>
    <mergeCell ref="B474:H476"/>
    <mergeCell ref="I474:W474"/>
    <mergeCell ref="I475:W475"/>
    <mergeCell ref="I476:M476"/>
    <mergeCell ref="A468:A473"/>
    <mergeCell ref="B468:H471"/>
    <mergeCell ref="I468:M469"/>
    <mergeCell ref="N468:R469"/>
    <mergeCell ref="S468:W469"/>
    <mergeCell ref="I482:M482"/>
    <mergeCell ref="N482:R482"/>
    <mergeCell ref="B472:H473"/>
    <mergeCell ref="I472:M473"/>
    <mergeCell ref="N472:R473"/>
    <mergeCell ref="S472:W473"/>
    <mergeCell ref="S476:W476"/>
    <mergeCell ref="N476:R476"/>
    <mergeCell ref="B477:H478"/>
    <mergeCell ref="S481:W481"/>
    <mergeCell ref="A477:A484"/>
    <mergeCell ref="I477:M479"/>
    <mergeCell ref="N477:R479"/>
    <mergeCell ref="S477:W479"/>
    <mergeCell ref="I480:M480"/>
    <mergeCell ref="N480:R480"/>
    <mergeCell ref="S480:W480"/>
    <mergeCell ref="S483:W484"/>
    <mergeCell ref="I481:M481"/>
    <mergeCell ref="N481:R481"/>
    <mergeCell ref="B589:V589"/>
    <mergeCell ref="T536:W536"/>
    <mergeCell ref="H537:K537"/>
    <mergeCell ref="L537:O537"/>
    <mergeCell ref="P537:S537"/>
    <mergeCell ref="H538:K539"/>
    <mergeCell ref="B587:V587"/>
    <mergeCell ref="B566:W567"/>
    <mergeCell ref="H544:S544"/>
    <mergeCell ref="F553:S553"/>
    <mergeCell ref="B479:H479"/>
    <mergeCell ref="B480:H484"/>
    <mergeCell ref="S482:W482"/>
    <mergeCell ref="I483:M484"/>
    <mergeCell ref="H547:S548"/>
    <mergeCell ref="B545:G546"/>
    <mergeCell ref="B547:G548"/>
    <mergeCell ref="H526:W527"/>
    <mergeCell ref="B526:G527"/>
    <mergeCell ref="H528:K528"/>
    <mergeCell ref="O152:W153"/>
    <mergeCell ref="I177:M181"/>
    <mergeCell ref="N177:R181"/>
    <mergeCell ref="B463:H464"/>
    <mergeCell ref="I463:K464"/>
    <mergeCell ref="L463:O464"/>
    <mergeCell ref="P463:S464"/>
    <mergeCell ref="L458:O462"/>
    <mergeCell ref="P458:S462"/>
    <mergeCell ref="T458:W462"/>
    <mergeCell ref="T463:W464"/>
    <mergeCell ref="N483:R484"/>
    <mergeCell ref="L528:O528"/>
    <mergeCell ref="A536:A539"/>
    <mergeCell ref="B536:G539"/>
    <mergeCell ref="H536:K536"/>
    <mergeCell ref="L536:O536"/>
    <mergeCell ref="P536:S536"/>
    <mergeCell ref="L530:O531"/>
    <mergeCell ref="P530:S531"/>
    <mergeCell ref="B177:H183"/>
    <mergeCell ref="T519:W520"/>
    <mergeCell ref="P503:S503"/>
    <mergeCell ref="T537:W537"/>
    <mergeCell ref="H529:K529"/>
    <mergeCell ref="L529:O529"/>
    <mergeCell ref="P529:S529"/>
    <mergeCell ref="T529:W529"/>
    <mergeCell ref="T528:W528"/>
    <mergeCell ref="P528:S528"/>
    <mergeCell ref="S154:W154"/>
    <mergeCell ref="O146:R147"/>
    <mergeCell ref="O155:R160"/>
    <mergeCell ref="B158:N160"/>
    <mergeCell ref="B138:D147"/>
    <mergeCell ref="S176:W176"/>
    <mergeCell ref="B149:W150"/>
    <mergeCell ref="S142:W142"/>
    <mergeCell ref="S143:W143"/>
    <mergeCell ref="S138:W141"/>
    <mergeCell ref="B128:D137"/>
    <mergeCell ref="S128:W131"/>
    <mergeCell ref="S132:W132"/>
    <mergeCell ref="S133:W133"/>
    <mergeCell ref="O127:R127"/>
    <mergeCell ref="O136:R137"/>
    <mergeCell ref="E128:N131"/>
    <mergeCell ref="E132:N137"/>
    <mergeCell ref="E125:N127"/>
    <mergeCell ref="AF465:AF484"/>
    <mergeCell ref="Y558:AE561"/>
    <mergeCell ref="A558:W561"/>
    <mergeCell ref="B152:N154"/>
    <mergeCell ref="B155:N157"/>
    <mergeCell ref="AE465:AE484"/>
    <mergeCell ref="AA465:AA484"/>
    <mergeCell ref="A458:A464"/>
    <mergeCell ref="I461:K462"/>
    <mergeCell ref="H545:S546"/>
    <mergeCell ref="L107:W107"/>
    <mergeCell ref="L108:S108"/>
    <mergeCell ref="B122:W123"/>
    <mergeCell ref="O125:W126"/>
    <mergeCell ref="B161:N162"/>
    <mergeCell ref="O154:R154"/>
    <mergeCell ref="O161:R162"/>
    <mergeCell ref="A110:W110"/>
    <mergeCell ref="S134:W134"/>
    <mergeCell ref="B125:D127"/>
    <mergeCell ref="T503:W503"/>
    <mergeCell ref="L513:O513"/>
    <mergeCell ref="P513:S513"/>
    <mergeCell ref="L514:O518"/>
    <mergeCell ref="P514:S518"/>
    <mergeCell ref="T514:W518"/>
    <mergeCell ref="T513:W513"/>
    <mergeCell ref="L512:W512"/>
    <mergeCell ref="P509:S510"/>
    <mergeCell ref="T509:W510"/>
    <mergeCell ref="P447:S449"/>
    <mergeCell ref="P450:S451"/>
    <mergeCell ref="T452:W452"/>
    <mergeCell ref="L453:O454"/>
    <mergeCell ref="P453:S454"/>
    <mergeCell ref="T453:W454"/>
    <mergeCell ref="T447:W449"/>
    <mergeCell ref="L452:O452"/>
    <mergeCell ref="T439:W441"/>
    <mergeCell ref="F436:W436"/>
    <mergeCell ref="F437:W437"/>
    <mergeCell ref="P452:S452"/>
    <mergeCell ref="L438:O438"/>
    <mergeCell ref="P442:S443"/>
    <mergeCell ref="T442:W443"/>
    <mergeCell ref="T438:W438"/>
    <mergeCell ref="L442:O443"/>
    <mergeCell ref="L450:O451"/>
    <mergeCell ref="B443:E443"/>
    <mergeCell ref="B439:E442"/>
    <mergeCell ref="P438:S438"/>
    <mergeCell ref="L439:O441"/>
    <mergeCell ref="P439:S441"/>
    <mergeCell ref="B436:E438"/>
    <mergeCell ref="I438:K438"/>
    <mergeCell ref="I439:K441"/>
    <mergeCell ref="F438:H438"/>
    <mergeCell ref="F439:H441"/>
    <mergeCell ref="L424:O425"/>
    <mergeCell ref="P424:S425"/>
    <mergeCell ref="T424:W425"/>
    <mergeCell ref="L423:O423"/>
    <mergeCell ref="P423:S423"/>
    <mergeCell ref="T423:W423"/>
    <mergeCell ref="L409:O409"/>
    <mergeCell ref="P408:S408"/>
    <mergeCell ref="L417:O418"/>
    <mergeCell ref="P417:S418"/>
    <mergeCell ref="T417:W418"/>
    <mergeCell ref="T412:W414"/>
    <mergeCell ref="T408:W408"/>
    <mergeCell ref="P409:S409"/>
    <mergeCell ref="L408:O408"/>
    <mergeCell ref="P416:S416"/>
    <mergeCell ref="P405:S407"/>
    <mergeCell ref="T409:W409"/>
    <mergeCell ref="L422:O422"/>
    <mergeCell ref="P422:S422"/>
    <mergeCell ref="T422:W422"/>
    <mergeCell ref="P412:S414"/>
    <mergeCell ref="P419:S421"/>
    <mergeCell ref="L419:O421"/>
    <mergeCell ref="T419:W421"/>
    <mergeCell ref="L412:O414"/>
    <mergeCell ref="T416:W416"/>
    <mergeCell ref="P415:S415"/>
    <mergeCell ref="T415:W415"/>
    <mergeCell ref="T410:W411"/>
    <mergeCell ref="L410:O411"/>
    <mergeCell ref="Y359:Y362"/>
    <mergeCell ref="Y363:Y366"/>
    <mergeCell ref="Y367:Y370"/>
    <mergeCell ref="K385:O388"/>
    <mergeCell ref="P385:S388"/>
    <mergeCell ref="Y381:Y384"/>
    <mergeCell ref="Y385:Y388"/>
    <mergeCell ref="K377:O380"/>
    <mergeCell ref="P377:S380"/>
    <mergeCell ref="T377:W380"/>
    <mergeCell ref="K381:O384"/>
    <mergeCell ref="P381:S384"/>
    <mergeCell ref="T381:W384"/>
    <mergeCell ref="A49:W49"/>
    <mergeCell ref="A45:W46"/>
    <mergeCell ref="T355:W358"/>
    <mergeCell ref="K352:W352"/>
    <mergeCell ref="P354:S354"/>
    <mergeCell ref="T354:W354"/>
    <mergeCell ref="P355:S358"/>
    <mergeCell ref="K354:O354"/>
    <mergeCell ref="K355:O358"/>
    <mergeCell ref="K353:W353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H97:W97"/>
    <mergeCell ref="S161:W162"/>
    <mergeCell ref="L534:O535"/>
    <mergeCell ref="P534:S535"/>
    <mergeCell ref="T534:W535"/>
    <mergeCell ref="B458:H462"/>
    <mergeCell ref="I458:K460"/>
    <mergeCell ref="L404:O404"/>
    <mergeCell ref="P404:S404"/>
    <mergeCell ref="A336:W336"/>
    <mergeCell ref="G56:H56"/>
    <mergeCell ref="A67:W70"/>
    <mergeCell ref="A72:W74"/>
    <mergeCell ref="A59:W63"/>
    <mergeCell ref="H93:W93"/>
    <mergeCell ref="H94:W94"/>
    <mergeCell ref="K65:L65"/>
    <mergeCell ref="H95:W95"/>
    <mergeCell ref="D87:W89"/>
    <mergeCell ref="A526:A527"/>
    <mergeCell ref="H530:K531"/>
    <mergeCell ref="H92:W92"/>
    <mergeCell ref="S136:W137"/>
    <mergeCell ref="S155:W157"/>
    <mergeCell ref="S158:W158"/>
    <mergeCell ref="S159:W159"/>
    <mergeCell ref="S160:W160"/>
    <mergeCell ref="A528:A531"/>
    <mergeCell ref="A532:A535"/>
    <mergeCell ref="B532:G535"/>
    <mergeCell ref="H532:K532"/>
    <mergeCell ref="L532:O532"/>
    <mergeCell ref="P532:S532"/>
    <mergeCell ref="H533:K533"/>
    <mergeCell ref="L533:O533"/>
    <mergeCell ref="P533:S533"/>
    <mergeCell ref="H534:K535"/>
    <mergeCell ref="A511:A513"/>
    <mergeCell ref="A352:A358"/>
    <mergeCell ref="K363:O366"/>
    <mergeCell ref="P363:S366"/>
    <mergeCell ref="I456:W456"/>
    <mergeCell ref="I457:K457"/>
    <mergeCell ref="L457:O457"/>
    <mergeCell ref="P457:S457"/>
    <mergeCell ref="T457:W457"/>
    <mergeCell ref="A436:A438"/>
    <mergeCell ref="B342:W348"/>
    <mergeCell ref="L519:O520"/>
    <mergeCell ref="L509:O510"/>
    <mergeCell ref="L511:W511"/>
    <mergeCell ref="P519:S520"/>
    <mergeCell ref="T363:W366"/>
    <mergeCell ref="B455:H457"/>
    <mergeCell ref="I455:W455"/>
    <mergeCell ref="T405:W407"/>
    <mergeCell ref="L405:O407"/>
    <mergeCell ref="A374:A380"/>
    <mergeCell ref="A402:A404"/>
    <mergeCell ref="A501:A503"/>
    <mergeCell ref="K374:W374"/>
    <mergeCell ref="K376:O376"/>
    <mergeCell ref="A381:A384"/>
    <mergeCell ref="P376:S376"/>
    <mergeCell ref="T376:W376"/>
    <mergeCell ref="A455:A457"/>
    <mergeCell ref="A385:A388"/>
    <mergeCell ref="B514:K515"/>
    <mergeCell ref="B517:K520"/>
    <mergeCell ref="B516:K516"/>
    <mergeCell ref="L503:O503"/>
    <mergeCell ref="B504:K506"/>
    <mergeCell ref="L504:O508"/>
    <mergeCell ref="T359:W362"/>
    <mergeCell ref="T367:W370"/>
    <mergeCell ref="A367:A370"/>
    <mergeCell ref="A152:A154"/>
    <mergeCell ref="A166:W166"/>
    <mergeCell ref="B167:W169"/>
    <mergeCell ref="B170:W173"/>
    <mergeCell ref="A290:W290"/>
    <mergeCell ref="P359:S362"/>
    <mergeCell ref="K359:O362"/>
    <mergeCell ref="F400:H401"/>
    <mergeCell ref="I400:L401"/>
    <mergeCell ref="M400:P401"/>
    <mergeCell ref="Q400:W401"/>
    <mergeCell ref="B401:E401"/>
    <mergeCell ref="B385:J388"/>
    <mergeCell ref="T385:W388"/>
    <mergeCell ref="A113:W113"/>
    <mergeCell ref="B114:W117"/>
    <mergeCell ref="B118:W121"/>
    <mergeCell ref="A125:A127"/>
    <mergeCell ref="S127:W127"/>
    <mergeCell ref="F108:I108"/>
    <mergeCell ref="P504:S508"/>
    <mergeCell ref="T504:W508"/>
    <mergeCell ref="B507:K507"/>
    <mergeCell ref="B508:K510"/>
    <mergeCell ref="A394:A401"/>
    <mergeCell ref="I394:L399"/>
    <mergeCell ref="M394:P399"/>
    <mergeCell ref="Q394:W397"/>
    <mergeCell ref="Q398:W398"/>
    <mergeCell ref="Q399:W399"/>
    <mergeCell ref="C100:K100"/>
    <mergeCell ref="L100:R100"/>
    <mergeCell ref="B511:K513"/>
    <mergeCell ref="B501:K503"/>
    <mergeCell ref="L501:W501"/>
    <mergeCell ref="L502:W502"/>
    <mergeCell ref="Q393:W393"/>
    <mergeCell ref="B394:E400"/>
    <mergeCell ref="F394:H399"/>
    <mergeCell ref="E138:N141"/>
    <mergeCell ref="E142:N147"/>
    <mergeCell ref="O128:R131"/>
    <mergeCell ref="O132:R135"/>
    <mergeCell ref="S135:W135"/>
    <mergeCell ref="S145:W145"/>
    <mergeCell ref="O138:R145"/>
    <mergeCell ref="S144:W144"/>
    <mergeCell ref="S146:W147"/>
    <mergeCell ref="B165:W165"/>
    <mergeCell ref="A174:A176"/>
    <mergeCell ref="B174:H176"/>
    <mergeCell ref="I174:W174"/>
    <mergeCell ref="I175:W175"/>
    <mergeCell ref="I176:M176"/>
    <mergeCell ref="N176:R176"/>
    <mergeCell ref="S177:W181"/>
    <mergeCell ref="I182:M183"/>
    <mergeCell ref="N182:R183"/>
    <mergeCell ref="S182:W183"/>
    <mergeCell ref="B198:H204"/>
    <mergeCell ref="I198:M202"/>
    <mergeCell ref="N198:R202"/>
    <mergeCell ref="S198:W202"/>
    <mergeCell ref="I203:M204"/>
    <mergeCell ref="N203:R204"/>
    <mergeCell ref="A205:A211"/>
    <mergeCell ref="B205:H211"/>
    <mergeCell ref="I205:M209"/>
    <mergeCell ref="N205:R209"/>
    <mergeCell ref="S205:W209"/>
    <mergeCell ref="I210:M211"/>
    <mergeCell ref="N210:R211"/>
    <mergeCell ref="S210:W211"/>
    <mergeCell ref="S247:W251"/>
    <mergeCell ref="I252:M253"/>
    <mergeCell ref="N252:R253"/>
    <mergeCell ref="S252:W253"/>
    <mergeCell ref="A308:A314"/>
    <mergeCell ref="B308:H314"/>
    <mergeCell ref="I308:M312"/>
    <mergeCell ref="N308:R312"/>
    <mergeCell ref="S308:W312"/>
    <mergeCell ref="I313:M314"/>
    <mergeCell ref="B184:H186"/>
    <mergeCell ref="B187:H190"/>
    <mergeCell ref="A247:A253"/>
    <mergeCell ref="B247:H253"/>
    <mergeCell ref="I247:M251"/>
    <mergeCell ref="N247:R251"/>
    <mergeCell ref="I184:M188"/>
    <mergeCell ref="N184:R188"/>
    <mergeCell ref="N196:R197"/>
    <mergeCell ref="B219:H225"/>
    <mergeCell ref="S184:W188"/>
    <mergeCell ref="I189:M190"/>
    <mergeCell ref="N189:R190"/>
    <mergeCell ref="S189:W190"/>
    <mergeCell ref="B191:H193"/>
    <mergeCell ref="I191:M195"/>
    <mergeCell ref="N191:R195"/>
    <mergeCell ref="S191:W195"/>
    <mergeCell ref="B194:H197"/>
    <mergeCell ref="I196:M197"/>
    <mergeCell ref="S196:W197"/>
    <mergeCell ref="B212:H218"/>
    <mergeCell ref="I212:M216"/>
    <mergeCell ref="N212:R216"/>
    <mergeCell ref="S212:W216"/>
    <mergeCell ref="I217:M218"/>
    <mergeCell ref="N217:R218"/>
    <mergeCell ref="S217:W218"/>
    <mergeCell ref="S203:W204"/>
    <mergeCell ref="I219:M223"/>
    <mergeCell ref="N219:R223"/>
    <mergeCell ref="S219:W223"/>
    <mergeCell ref="I224:M225"/>
    <mergeCell ref="N224:R225"/>
    <mergeCell ref="S224:W225"/>
    <mergeCell ref="B226:H232"/>
    <mergeCell ref="I226:M230"/>
    <mergeCell ref="N226:R230"/>
    <mergeCell ref="S226:W230"/>
    <mergeCell ref="I231:M232"/>
    <mergeCell ref="N231:R232"/>
    <mergeCell ref="S231:W232"/>
    <mergeCell ref="B233:H239"/>
    <mergeCell ref="I233:M237"/>
    <mergeCell ref="N233:R237"/>
    <mergeCell ref="S233:W237"/>
    <mergeCell ref="I238:M239"/>
    <mergeCell ref="N238:R239"/>
    <mergeCell ref="S238:W239"/>
    <mergeCell ref="B240:H246"/>
    <mergeCell ref="I240:M244"/>
    <mergeCell ref="N240:R244"/>
    <mergeCell ref="S240:W244"/>
    <mergeCell ref="I245:M246"/>
    <mergeCell ref="N245:R246"/>
    <mergeCell ref="S245:W246"/>
    <mergeCell ref="I254:M258"/>
    <mergeCell ref="N254:R258"/>
    <mergeCell ref="S254:W258"/>
    <mergeCell ref="I259:M260"/>
    <mergeCell ref="N259:R260"/>
    <mergeCell ref="S259:W260"/>
    <mergeCell ref="A294:A300"/>
    <mergeCell ref="B294:H300"/>
    <mergeCell ref="I294:M298"/>
    <mergeCell ref="N294:R298"/>
    <mergeCell ref="S294:W298"/>
    <mergeCell ref="I299:M300"/>
    <mergeCell ref="N299:R300"/>
    <mergeCell ref="S299:W300"/>
    <mergeCell ref="I261:M265"/>
    <mergeCell ref="N261:R265"/>
    <mergeCell ref="S261:W265"/>
    <mergeCell ref="I266:M267"/>
    <mergeCell ref="N266:R267"/>
    <mergeCell ref="S266:W267"/>
    <mergeCell ref="I268:M272"/>
    <mergeCell ref="N268:R272"/>
    <mergeCell ref="S268:W272"/>
    <mergeCell ref="I273:M274"/>
    <mergeCell ref="N273:R274"/>
    <mergeCell ref="S273:W274"/>
    <mergeCell ref="A291:A293"/>
    <mergeCell ref="B291:H293"/>
    <mergeCell ref="I291:W291"/>
    <mergeCell ref="I292:W292"/>
    <mergeCell ref="I293:M293"/>
    <mergeCell ref="N293:R293"/>
    <mergeCell ref="S293:W293"/>
    <mergeCell ref="A301:A307"/>
    <mergeCell ref="B301:H307"/>
    <mergeCell ref="I301:M305"/>
    <mergeCell ref="N301:R305"/>
    <mergeCell ref="S301:W305"/>
    <mergeCell ref="I306:M307"/>
    <mergeCell ref="N306:R307"/>
    <mergeCell ref="S306:W307"/>
    <mergeCell ref="A254:A260"/>
    <mergeCell ref="A268:A274"/>
    <mergeCell ref="B261:H262"/>
    <mergeCell ref="B263:H267"/>
    <mergeCell ref="A275:A281"/>
    <mergeCell ref="B275:H281"/>
    <mergeCell ref="B268:H274"/>
    <mergeCell ref="A261:A267"/>
    <mergeCell ref="B254:H260"/>
    <mergeCell ref="I275:M279"/>
    <mergeCell ref="N275:R279"/>
    <mergeCell ref="S275:W279"/>
    <mergeCell ref="I280:M281"/>
    <mergeCell ref="N280:R281"/>
    <mergeCell ref="S280:W281"/>
    <mergeCell ref="A282:A288"/>
    <mergeCell ref="B282:H288"/>
    <mergeCell ref="I282:M286"/>
    <mergeCell ref="N282:R286"/>
    <mergeCell ref="S282:W286"/>
    <mergeCell ref="I287:M288"/>
    <mergeCell ref="N287:R288"/>
    <mergeCell ref="S287:W288"/>
    <mergeCell ref="N313:R314"/>
    <mergeCell ref="S313:W314"/>
    <mergeCell ref="A315:A321"/>
    <mergeCell ref="B315:H321"/>
    <mergeCell ref="I315:M319"/>
    <mergeCell ref="N315:R319"/>
    <mergeCell ref="S315:W319"/>
    <mergeCell ref="I320:M321"/>
    <mergeCell ref="N320:R321"/>
    <mergeCell ref="S320:W321"/>
    <mergeCell ref="A322:A328"/>
    <mergeCell ref="B322:H328"/>
    <mergeCell ref="I322:M326"/>
    <mergeCell ref="N322:R326"/>
    <mergeCell ref="S322:W326"/>
    <mergeCell ref="I327:M328"/>
    <mergeCell ref="N327:R328"/>
    <mergeCell ref="S327:W328"/>
    <mergeCell ref="B331:W332"/>
    <mergeCell ref="B359:J362"/>
    <mergeCell ref="B363:J366"/>
    <mergeCell ref="A391:A393"/>
    <mergeCell ref="B391:E393"/>
    <mergeCell ref="F391:W391"/>
    <mergeCell ref="F392:W392"/>
    <mergeCell ref="F393:H393"/>
    <mergeCell ref="I393:L393"/>
    <mergeCell ref="M393:P393"/>
  </mergeCells>
  <conditionalFormatting sqref="H92:J92 H94:J94 H96:J96 L107:M107 H98:J98">
    <cfRule type="cellIs" priority="72" dxfId="56" operator="equal" stopIfTrue="1">
      <formula>"нет данных"</formula>
    </cfRule>
  </conditionalFormatting>
  <conditionalFormatting sqref="B381 B385">
    <cfRule type="expression" priority="65" dxfId="57" stopIfTrue="1">
      <formula>AND($G$56="первая",$B381&lt;&gt;"")</formula>
    </cfRule>
  </conditionalFormatting>
  <conditionalFormatting sqref="K381:S388">
    <cfRule type="containsText" priority="56" dxfId="52" operator="containsText" stopIfTrue="1" text="Не заполнять">
      <formula>NOT(ISERROR(SEARCH("Не заполнять",K381)))</formula>
    </cfRule>
  </conditionalFormatting>
  <conditionalFormatting sqref="A569:W569">
    <cfRule type="cellIs" priority="52" dxfId="58" operator="equal" stopIfTrue="1">
      <formula>"ЭЗ не готово к печати"</formula>
    </cfRule>
    <cfRule type="cellIs" priority="53" dxfId="59" operator="equal" stopIfTrue="1">
      <formula>"Экспертное заключение ГОТОВО к печати"</formula>
    </cfRule>
  </conditionalFormatting>
  <conditionalFormatting sqref="L100:R100">
    <cfRule type="cellIs" priority="37" dxfId="10" operator="equal" stopIfTrue="1">
      <formula>"« __ » ___________  20__ г."</formula>
    </cfRule>
  </conditionalFormatting>
  <conditionalFormatting sqref="I299:M300">
    <cfRule type="containsText" priority="35" dxfId="52" operator="containsText" stopIfTrue="1" text="Не заполнять">
      <formula>NOT(ISERROR(SEARCH("Не заполнять",I299)))</formula>
    </cfRule>
  </conditionalFormatting>
  <conditionalFormatting sqref="N299:W300">
    <cfRule type="expression" priority="34" dxfId="52" stopIfTrue="1">
      <formula>$I299="НЕ заполнять! Только для д.домов"</formula>
    </cfRule>
  </conditionalFormatting>
  <conditionalFormatting sqref="N306:W307">
    <cfRule type="expression" priority="25" dxfId="52" stopIfTrue="1">
      <formula>$I306="НЕ заполнять! Только для д.домов"</formula>
    </cfRule>
  </conditionalFormatting>
  <conditionalFormatting sqref="N313:W314">
    <cfRule type="expression" priority="24" dxfId="52" stopIfTrue="1">
      <formula>$I313="НЕ заполнять! Только для д.домов"</formula>
    </cfRule>
  </conditionalFormatting>
  <conditionalFormatting sqref="N320:W321">
    <cfRule type="expression" priority="23" dxfId="52" stopIfTrue="1">
      <formula>$I320="НЕ заполнять! Только для д.домов"</formula>
    </cfRule>
  </conditionalFormatting>
  <conditionalFormatting sqref="N327:W328">
    <cfRule type="expression" priority="22" dxfId="52" stopIfTrue="1">
      <formula>$I327="НЕ заполнять! Только для д.домов"</formula>
    </cfRule>
  </conditionalFormatting>
  <conditionalFormatting sqref="I306:M307">
    <cfRule type="containsText" priority="5" dxfId="52" operator="containsText" stopIfTrue="1" text="Не заполнять">
      <formula>NOT(ISERROR(SEARCH("Не заполнять",I306)))</formula>
    </cfRule>
  </conditionalFormatting>
  <conditionalFormatting sqref="I313:M314">
    <cfRule type="containsText" priority="4" dxfId="52" operator="containsText" stopIfTrue="1" text="Не заполнять">
      <formula>NOT(ISERROR(SEARCH("Не заполнять",I313)))</formula>
    </cfRule>
  </conditionalFormatting>
  <conditionalFormatting sqref="I327:M328">
    <cfRule type="containsText" priority="2" dxfId="52" operator="containsText" stopIfTrue="1" text="Не заполнять">
      <formula>NOT(ISERROR(SEARCH("Не заполнять",I327)))</formula>
    </cfRule>
  </conditionalFormatting>
  <conditionalFormatting sqref="I320:M321">
    <cfRule type="containsText" priority="1" dxfId="52" operator="containsText" stopIfTrue="1" text="Не заполнять">
      <formula>NOT(ISERROR(SEARCH("Не заполнять",I320)))</formula>
    </cfRule>
  </conditionalFormatting>
  <dataValidations count="34">
    <dataValidation type="list" allowBlank="1" showInputMessage="1" showErrorMessage="1" sqref="P530:S531">
      <formula1>AD530</formula1>
    </dataValidation>
    <dataValidation type="list" allowBlank="1" showInputMessage="1" showErrorMessage="1" sqref="T530:W531">
      <formula1>$AE530</formula1>
    </dataValidation>
    <dataValidation type="list" allowBlank="1" showInputMessage="1" showErrorMessage="1" sqref="P534:S535 P538:S539">
      <formula1>$AD$533</formula1>
    </dataValidation>
    <dataValidation allowBlank="1" showInputMessage="1" showErrorMessage="1" promptTitle="Внимание!" prompt="Введите данные на листе &#10;&quot;Общие сведения&quot;" sqref="A558 D87:W89 Y63:AG66 P109:R109 A59 A67 L108:M108 H92:J99 AI63:AJ66"/>
    <dataValidation type="list" allowBlank="1" showInputMessage="1" showErrorMessage="1" sqref="H497:J498 U497:W498 I417:K418 I424:K425 I410:K411 I442:O443 N252:R253 N266:R267 I400:P401 N280:R281 N287:R288 N329:R330">
      <formula1>"10,  "</formula1>
    </dataValidation>
    <dataValidation type="list" allowBlank="1" showInputMessage="1" showErrorMessage="1" sqref="T519:W520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550 U81:V81 Z81"/>
    <dataValidation type="list" allowBlank="1" showInputMessage="1" showErrorMessage="1" sqref="P509:S510 P442:W443 S245:W246 S182:W183 S189:W190 S196:W197 S203:W204 S210:W211 S217:W218 S224:W225 S231:W232 S238:W239 S252:W253 S259:W260 S266:W267 S287:W288 S273:W274 S280:W281 S329:W330">
      <formula1>"20,  "</formula1>
    </dataValidation>
    <dataValidation type="list" allowBlank="1" showInputMessage="1" showErrorMessage="1" sqref="P519:S520 T509:W510">
      <formula1>"30,  "</formula1>
    </dataValidation>
    <dataValidation type="list" allowBlank="1" showInputMessage="1" showErrorMessage="1" sqref="K497:O498">
      <formula1>"20, 40, "</formula1>
    </dataValidation>
    <dataValidation type="list" allowBlank="1" showInputMessage="1" showErrorMessage="1" sqref="P497:T498">
      <formula1>"40, 60, "</formula1>
    </dataValidation>
    <dataValidation type="list" allowBlank="1" showInputMessage="1" showErrorMessage="1" sqref="L530:O531">
      <formula1>$AC$530</formula1>
    </dataValidation>
    <dataValidation type="list" allowBlank="1" showInputMessage="1" showErrorMessage="1" sqref="L534:O535 L538:O539">
      <formula1>$AC$533</formula1>
    </dataValidation>
    <dataValidation type="list" allowBlank="1" showInputMessage="1" showErrorMessage="1" sqref="T534:W535 T538:W539">
      <formula1>$AE$533</formula1>
    </dataValidation>
    <dataValidation type="list" allowBlank="1" showInputMessage="1" showErrorMessage="1" sqref="N472:R473 P434:W435 L424:O425 L410:O411 L417:O418 L453:O454">
      <formula1>"10, 20, "</formula1>
    </dataValidation>
    <dataValidation type="list" allowBlank="1" showInputMessage="1" showErrorMessage="1" sqref="S472:W473">
      <formula1>"20, 40,"</formula1>
    </dataValidation>
    <dataValidation type="list" allowBlank="1" showInputMessage="1" showErrorMessage="1" sqref="N483:R484">
      <formula1>"10, 20, 30, "</formula1>
    </dataValidation>
    <dataValidation type="list" allowBlank="1" showInputMessage="1" showErrorMessage="1" sqref="S483:W484">
      <formula1>"50, 70, "</formula1>
    </dataValidation>
    <dataValidation type="list" allowBlank="1" showInputMessage="1" showErrorMessage="1" sqref="I434:O435 N273:R274 P363:R363 P367:R369 P359:R359 P381:S388 N182:R183 N189:R190 N196:R197 N203:R204 N210:R211 N217:R218 N224:R225 N231:R232 N238:R239 N245:R246 N259:R260 L463:O464">
      <formula1>"10, "</formula1>
    </dataValidation>
    <dataValidation type="list" allowBlank="1" showInputMessage="1" showErrorMessage="1" sqref="P424:S425 P410:S411">
      <formula1>"20, 30, "</formula1>
    </dataValidation>
    <dataValidation type="list" allowBlank="1" showInputMessage="1" showErrorMessage="1" sqref="T424:W425 Q400:W401 P417:S418 T410:W411 P453:S454">
      <formula1>"30, 40, "</formula1>
    </dataValidation>
    <dataValidation type="list" allowBlank="1" showInputMessage="1" showErrorMessage="1" sqref="T381:W388 T359:W370 P463:S464">
      <formula1>"20, "</formula1>
    </dataValidation>
    <dataValidation type="list" allowBlank="1" showInputMessage="1" showErrorMessage="1" sqref="T417:W418 T453:W454">
      <formula1>"40, 50,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6:W137">
      <formula1>$AD$136:$AG$136</formula1>
    </dataValidation>
    <dataValidation type="list" allowBlank="1" showInputMessage="1" showErrorMessage="1" sqref="S146:W147">
      <formula1>$AD$146:$AG$146</formula1>
    </dataValidation>
    <dataValidation type="list" allowBlank="1" showInputMessage="1" showErrorMessage="1" sqref="S161:W162">
      <formula1>$AD$161:$AG$161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T463:W464">
      <formula1>"30, "</formula1>
    </dataValidation>
    <dataValidation type="list" allowBlank="1" showInputMessage="1" showErrorMessage="1" sqref="N299:R300 N313:R314 N320:R321 N306:R307 N327:R328">
      <formula1>$AB$291</formula1>
    </dataValidation>
    <dataValidation type="list" allowBlank="1" showInputMessage="1" showErrorMessage="1" sqref="S299:W300 S313:W314 S320:W321 S306:W307 S327:W328">
      <formula1>$AC$291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89" location="ЭЗ!A40" tooltip="Щелкните, чтобы перейти по ссылке" display="в начало Экспертного заключения"/>
    <hyperlink ref="B587:V587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2021-07-25T06:40:46Z</cp:lastPrinted>
  <dcterms:created xsi:type="dcterms:W3CDTF">2020-08-22T14:09:43Z</dcterms:created>
  <dcterms:modified xsi:type="dcterms:W3CDTF">2021-07-27T11:16:21Z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