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05" windowWidth="20415" windowHeight="127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'ЭЗ'!$A$497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'ЭЗ'!$AA$182</definedName>
    <definedName name="итого_2">'ЭЗ'!$AA$182</definedName>
    <definedName name="итого_3" localSheetId="1">'ЭЗ'!$AA$269</definedName>
    <definedName name="итого_3">'ЭЗ'!$AA$269</definedName>
    <definedName name="итого_4">'ЭЗ'!$AA$456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'ЭЗ'!$A$40:$W$109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 localSheetId="1">#REF!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Логопедия, квалификация: учитель-логопед.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1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42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63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61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58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36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<sst xmlns="http://schemas.openxmlformats.org/spreadsheetml/2006/main" count="1224" uniqueCount="748">
  <si>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</si>
  <si>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</si>
  <si>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</si>
  <si>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</si>
  <si>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</si>
  <si>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</si>
  <si>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</si>
  <si>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</si>
  <si>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</si>
  <si>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</si>
  <si>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</si>
  <si>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</si>
  <si>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</si>
  <si>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</si>
  <si>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</si>
  <si>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</si>
  <si>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</si>
  <si>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</si>
  <si>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</si>
  <si>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</si>
  <si>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</si>
  <si>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</si>
  <si>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</si>
  <si>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</si>
  <si>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</si>
  <si>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</si>
  <si>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</si>
  <si>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</si>
  <si>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</si>
  <si>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</si>
  <si>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</si>
  <si>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</si>
  <si>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</si>
  <si>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</si>
  <si>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</si>
  <si>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</si>
  <si>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</si>
  <si>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</si>
  <si>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</si>
  <si>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</si>
  <si>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</si>
  <si>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</si>
  <si>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</si>
  <si>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</si>
  <si>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</si>
  <si>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</si>
  <si>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</si>
  <si>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</si>
  <si>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</si>
  <si>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</si>
  <si>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</si>
  <si>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</si>
  <si>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</si>
  <si>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</si>
  <si>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</si>
  <si>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</si>
  <si>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</si>
  <si>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</si>
  <si>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</si>
  <si>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</si>
  <si>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</si>
  <si>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</si>
  <si>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</si>
  <si>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</si>
  <si>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</si>
  <si>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</si>
  <si>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</si>
  <si>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</si>
  <si>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</si>
  <si>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</si>
  <si>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</si>
  <si>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</si>
  <si>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</si>
  <si>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</si>
  <si>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</si>
  <si>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</si>
  <si>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</si>
  <si>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</si>
  <si>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</si>
  <si>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</si>
  <si>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</si>
  <si>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</si>
  <si>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</si>
  <si>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</si>
  <si>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</si>
  <si>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</si>
  <si>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</si>
  <si>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</si>
  <si>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</si>
  <si>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</si>
  <si>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</si>
  <si>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</si>
  <si>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</si>
  <si>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</si>
  <si>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</si>
  <si>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</si>
  <si>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</si>
  <si>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</si>
  <si>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</si>
  <si>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</si>
  <si>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</si>
  <si>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</si>
  <si>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</si>
  <si>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</si>
  <si>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</si>
  <si>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</si>
  <si>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</si>
  <si>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</si>
  <si>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</si>
  <si>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</si>
  <si>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</si>
  <si>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</si>
  <si>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</si>
  <si>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</si>
  <si>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</si>
  <si>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</si>
  <si>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</si>
  <si>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</si>
  <si>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</si>
  <si>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</si>
  <si>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</si>
  <si>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</si>
  <si>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</si>
  <si>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</si>
  <si>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</si>
  <si>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</si>
  <si>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</si>
  <si>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</si>
  <si>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</si>
  <si>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</si>
  <si>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</si>
  <si>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</si>
  <si>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</si>
  <si>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</si>
  <si>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</si>
  <si>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</si>
  <si>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</si>
  <si>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</si>
  <si>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</si>
  <si>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</si>
  <si>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</si>
  <si>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</si>
  <si>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</si>
  <si>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</si>
  <si>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</si>
  <si>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</si>
  <si>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</si>
  <si>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</si>
  <si>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</si>
  <si>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</si>
  <si>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</si>
  <si>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</si>
  <si>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</si>
  <si>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</si>
  <si>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</si>
  <si>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</si>
  <si>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</si>
  <si>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</si>
  <si>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</si>
  <si>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</si>
  <si>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</si>
  <si>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</si>
  <si>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</si>
  <si>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</si>
  <si>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</si>
  <si>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</si>
  <si>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</si>
  <si>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</si>
  <si>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</si>
  <si>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</si>
  <si>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</si>
  <si>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</si>
  <si>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</si>
  <si>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</si>
  <si>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</si>
  <si>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</si>
  <si>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</si>
  <si>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</si>
  <si>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</si>
  <si>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</si>
  <si>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</si>
  <si>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</si>
  <si>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</si>
  <si>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</si>
  <si>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</si>
  <si>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</si>
  <si>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</si>
  <si>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</si>
  <si>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</si>
  <si>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</si>
  <si>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</si>
  <si>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</si>
  <si>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</si>
  <si>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</si>
  <si>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</si>
  <si>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</si>
  <si>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</si>
  <si>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</si>
  <si>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</si>
  <si>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</si>
  <si>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</si>
  <si>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</si>
  <si>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</si>
  <si>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</si>
  <si>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</si>
  <si>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</si>
  <si>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</si>
  <si>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</si>
  <si>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</si>
  <si>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</si>
  <si>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</si>
  <si>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</si>
  <si>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</si>
  <si>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</si>
  <si>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</si>
  <si>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</si>
  <si>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</si>
  <si>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</si>
  <si>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</si>
  <si>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</si>
  <si>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</si>
  <si>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</si>
  <si>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</si>
  <si>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</si>
  <si>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</si>
  <si>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</si>
  <si>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</si>
  <si>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</si>
  <si>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</si>
  <si>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</si>
  <si>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</si>
  <si>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</si>
  <si>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</si>
  <si>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</si>
  <si>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</si>
  <si>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</si>
  <si>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</si>
  <si>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</si>
  <si>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</si>
  <si>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</si>
  <si>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</si>
  <si>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</si>
  <si>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</si>
  <si>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</si>
  <si>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</si>
  <si>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</si>
  <si>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</si>
  <si>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</si>
  <si>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</si>
  <si>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</si>
  <si>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</si>
  <si>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</si>
  <si>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</si>
  <si>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</si>
  <si>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</si>
  <si>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</si>
  <si>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</si>
  <si>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</si>
  <si>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</si>
  <si>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</si>
  <si>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</si>
  <si>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</si>
  <si>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</si>
  <si>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</si>
  <si>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</si>
  <si>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</si>
  <si>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</si>
  <si>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</si>
  <si>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</si>
  <si>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</si>
  <si>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</si>
  <si>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</si>
  <si>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</si>
  <si>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</si>
  <si>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</si>
  <si>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</si>
  <si>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</si>
  <si>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</si>
  <si>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</si>
  <si>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</si>
  <si>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</si>
  <si>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</si>
  <si>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</si>
  <si>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</si>
  <si>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</si>
  <si>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</si>
  <si>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</si>
  <si>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</si>
  <si>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</si>
  <si>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</si>
  <si>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</si>
  <si>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</si>
  <si>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</si>
  <si>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</si>
  <si>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</si>
  <si>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</si>
  <si>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</si>
  <si>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</si>
  <si>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</si>
  <si>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</si>
  <si>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</si>
  <si>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</si>
  <si>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</si>
  <si>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</si>
  <si>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</si>
  <si>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</si>
  <si>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</si>
  <si>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</si>
  <si>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</si>
  <si>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</si>
  <si>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</si>
  <si>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</si>
  <si>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</si>
  <si>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</si>
  <si>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</si>
  <si>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</si>
  <si>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</si>
  <si>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</si>
  <si>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</si>
  <si>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</si>
  <si>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</si>
  <si>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</si>
  <si>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</si>
  <si>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</si>
  <si>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</si>
  <si>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</si>
  <si>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</si>
  <si>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</si>
  <si>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</si>
  <si>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</si>
  <si>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</si>
  <si>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</si>
  <si>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</si>
  <si>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</si>
  <si>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</si>
  <si>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</si>
  <si>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</si>
  <si>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</si>
  <si>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</si>
  <si>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</si>
  <si>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</si>
  <si>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</si>
  <si>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</si>
  <si>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</si>
  <si>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</si>
  <si>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</si>
  <si>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</si>
  <si>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</si>
  <si>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</si>
  <si>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</si>
  <si>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</si>
  <si>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</si>
  <si>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</si>
  <si>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</si>
  <si>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</si>
  <si>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</si>
  <si>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</si>
  <si>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</si>
  <si>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</si>
  <si>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</si>
  <si>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</si>
  <si>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</si>
  <si>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</si>
  <si>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</si>
  <si>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</si>
  <si>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</si>
  <si>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</si>
  <si>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</si>
  <si>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</si>
  <si>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</si>
  <si>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</si>
  <si>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</si>
  <si>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</si>
  <si>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</si>
  <si>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</si>
  <si>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</si>
  <si>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</si>
  <si>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</si>
  <si>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</si>
  <si>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</si>
  <si>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</si>
  <si>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</si>
  <si>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</si>
  <si>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</si>
  <si>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</si>
  <si>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</si>
  <si>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</si>
  <si>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</si>
  <si>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</si>
  <si>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</si>
  <si>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</si>
  <si>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</si>
  <si>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</si>
  <si>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</si>
  <si>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</si>
  <si>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</si>
  <si>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</si>
  <si>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</si>
  <si>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</si>
  <si>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</si>
  <si>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</si>
  <si>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</si>
  <si>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</si>
  <si>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</si>
  <si>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</si>
  <si>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</si>
  <si>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</si>
  <si>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</si>
  <si>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</si>
  <si>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</si>
  <si>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</si>
  <si>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</si>
  <si>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</si>
  <si>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</si>
  <si>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</si>
  <si>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</si>
  <si>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</si>
  <si>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Участие - 
10б.</t>
  </si>
  <si>
    <t>Победители, призеры – 20б.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</si>
  <si>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</si>
  <si>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</si>
  <si>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</si>
  <si>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</si>
  <si>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</si>
  <si>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</si>
  <si>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</si>
  <si>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</si>
  <si>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</si>
  <si>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</si>
  <si>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</si>
  <si>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</si>
  <si>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</si>
  <si>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</si>
  <si>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</si>
  <si>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</si>
  <si>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</si>
  <si>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</si>
  <si>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</si>
  <si>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</si>
  <si>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</si>
  <si>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</si>
  <si>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</si>
  <si>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</si>
  <si>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</si>
  <si>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</si>
  <si>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</si>
  <si>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</si>
  <si>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</si>
  <si>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</si>
  <si>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</si>
  <si>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</si>
  <si>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</si>
  <si>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</si>
  <si>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</si>
  <si>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</si>
  <si>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</si>
  <si>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</si>
  <si>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</si>
  <si>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</si>
  <si>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</si>
  <si>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</si>
  <si>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</si>
  <si>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</si>
  <si>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</si>
  <si>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</si>
  <si>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</si>
  <si>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</si>
  <si>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</si>
  <si>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</si>
  <si>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</si>
  <si>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</si>
  <si>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</si>
  <si>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</si>
  <si>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</si>
  <si>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</si>
  <si>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</si>
  <si>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</si>
  <si>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</si>
  <si>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</si>
  <si>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</si>
  <si>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</si>
  <si>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</si>
  <si>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</si>
  <si>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</si>
  <si>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</si>
  <si>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</si>
  <si>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</si>
  <si>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</si>
  <si>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</si>
  <si>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</si>
  <si>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</si>
  <si>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</si>
  <si>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</si>
  <si>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</si>
  <si>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</si>
  <si>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</si>
  <si>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</si>
  <si>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</si>
  <si>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</si>
  <si>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</si>
  <si>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</si>
  <si>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</si>
  <si>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</si>
  <si>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</si>
  <si>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</si>
  <si>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</si>
  <si>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</si>
  <si>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</si>
  <si>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</si>
  <si>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</si>
  <si>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</si>
  <si>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</si>
  <si>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</si>
  <si>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</si>
  <si>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</si>
  <si>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</si>
  <si>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</si>
  <si>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</si>
  <si>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</si>
  <si>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</si>
  <si>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</si>
  <si>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</si>
  <si>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</si>
  <si>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</si>
  <si>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</si>
  <si>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</si>
  <si>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</si>
  <si>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</si>
  <si>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</si>
  <si>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</si>
  <si>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</si>
  <si>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</si>
  <si>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</si>
  <si>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</si>
  <si>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</si>
  <si>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</si>
  <si>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</si>
  <si>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</si>
  <si>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</si>
  <si>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</si>
  <si>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</si>
  <si>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</si>
  <si>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</si>
  <si>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</si>
  <si>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</si>
  <si>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</si>
  <si>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</si>
  <si>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</si>
  <si>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</si>
  <si>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</si>
  <si>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</si>
  <si>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</si>
  <si>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</si>
  <si>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</si>
  <si>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</si>
  <si>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</si>
  <si>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</si>
  <si>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</si>
  <si>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</si>
  <si>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</si>
  <si>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</si>
  <si>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</si>
  <si>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</si>
  <si>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</si>
  <si>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</si>
  <si>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</si>
  <si>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</si>
  <si>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</si>
  <si>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</si>
  <si>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</si>
  <si>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</si>
  <si>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</si>
  <si>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</si>
  <si>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</si>
  <si>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</si>
  <si>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</si>
  <si>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</si>
  <si>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</si>
  <si>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</si>
  <si>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</si>
  <si>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</si>
  <si>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</si>
  <si>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</si>
  <si>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</si>
  <si>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</si>
  <si>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</si>
  <si>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</si>
  <si>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</si>
  <si>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</si>
  <si>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</si>
  <si>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</si>
  <si>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</si>
  <si>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</si>
  <si>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</si>
  <si>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</si>
  <si>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</si>
  <si>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</si>
  <si>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</si>
  <si>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</si>
  <si>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</si>
  <si>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</si>
  <si>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</si>
  <si>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</si>
  <si>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</si>
  <si>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</si>
  <si>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</si>
  <si>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</si>
  <si>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</si>
  <si>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</si>
  <si>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</si>
  <si>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</si>
  <si>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</si>
  <si>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</si>
  <si>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</si>
  <si>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</si>
  <si>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</si>
  <si>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</si>
  <si>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</si>
  <si>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</si>
  <si>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</si>
  <si>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</si>
  <si>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</si>
  <si>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</si>
  <si>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</si>
  <si>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</si>
  <si>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</si>
  <si>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</si>
  <si>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</si>
  <si>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</si>
  <si>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</si>
  <si>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</si>
  <si>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</si>
  <si>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</si>
  <si>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</si>
  <si>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</si>
  <si>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</si>
  <si>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</si>
  <si>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</si>
  <si>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</si>
  <si>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</si>
  <si>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</si>
  <si>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</si>
  <si>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</si>
  <si>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</si>
  <si>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</si>
  <si>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</si>
  <si>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</si>
  <si>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</si>
  <si>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</si>
  <si>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</si>
  <si>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</si>
  <si>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</si>
  <si>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</si>
  <si>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</si>
  <si>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</si>
  <si>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</si>
  <si>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</si>
  <si>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</si>
  <si>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</si>
  <si>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</si>
  <si>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</si>
  <si>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</si>
  <si>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</si>
  <si>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</si>
  <si>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</si>
  <si>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</si>
  <si>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</si>
  <si>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</si>
  <si>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</si>
  <si>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</si>
  <si>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# 6</t>
  </si>
  <si>
    <t xml:space="preserve">(учителя-логопеда дошкольной, общеобразовательной, специальной (коррекционной) организаций, 
организации дополнительного образования; 
логопеда* учреждений здравоохранения и социального обслуживания.) </t>
  </si>
  <si>
    <t>учителя-логопеда, логопеда*</t>
  </si>
  <si>
    <r>
      <t xml:space="preserve"> - для учит/препод формула </t>
    </r>
    <r>
      <rPr>
        <sz val="8"/>
        <color indexed="36"/>
        <rFont val="Times New Roman"/>
        <family val="1"/>
      </rPr>
      <t xml:space="preserve">  =K20 / =ЕСЛИ(T2="# 1";K20;долж_ОС)</t>
    </r>
  </si>
  <si>
    <t>дошкольное образование</t>
  </si>
  <si>
    <t>об уровне квалификации педагогического работника (учитель-логопед, логопед*) 
государственных, муниципальных и частных организаций Московской области, 
осуществляющих образовательную деятельность</t>
  </si>
  <si>
    <t>* 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</si>
  <si>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>порог_П</t>
  </si>
  <si>
    <t>порог_В</t>
  </si>
  <si>
    <t>*  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</si>
  <si>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укажите специализацию  в именительном падеже </t>
  </si>
  <si>
    <r>
      <t xml:space="preserve">Обучение в вузе/ сузе </t>
    </r>
    <r>
      <rPr>
        <sz val="10"/>
        <rFont val="Times New Roman"/>
        <family val="1"/>
      </rPr>
      <t>(образование в области дефектологии)</t>
    </r>
  </si>
  <si>
    <t>Продуктивность деятельности педагогического работника по развитию обучающихся/воспитанников</t>
  </si>
  <si>
    <t>Результаты освоения обучающимися/воспитанниками образовательных программ по итогам мониторингов, проводимых организацией</t>
  </si>
  <si>
    <t>Результаты освоения обучающимися/ воспитанниками коррекционных образовательных программ по итогам мониторингов, проводимых организацией</t>
  </si>
  <si>
    <t>Оцениваются:
- соответствие данных первичного обследования и диагноза перспективному плану индивидуальной и/или групповой коррекции;
- результаты коррекции звукопроизношений, фонетико-фонематических нарушений речи и нарушений лексико-грамматического строя речи;
- результаты коррекции и устранения нарушений письменной речи и др.
(далее - Прил. № 1)</t>
  </si>
  <si>
    <t>Нет 
стабильных положительных результатов</t>
  </si>
  <si>
    <t>Стабильно положительные результаты у занимающихся детей</t>
  </si>
  <si>
    <t>2-3 года у 50-80% детей – 60-80б.</t>
  </si>
  <si>
    <t>менее 2 лет  у менее 50% детей – 10б.</t>
  </si>
  <si>
    <t>Оцениваются:
- соответствие данных первичного обследования и диагноза перспективному плану индивидуальной и/или групповой коррекции;
- результаты коррекции звукопроизношений, фонетико-фонематических нарушений речи и нарушений лексико-грамматического строя речи;
- результаты коррекции и устранения нарушений письменной речи и др.
(далее – Прил. № 1)</t>
  </si>
  <si>
    <t>и минимальная динамика у остальных, в зависимости от сложности нарушения развития</t>
  </si>
  <si>
    <t>4 года и более у 80% 
и более детей – 100б.</t>
  </si>
  <si>
    <t>Нет динамики / отрицательная динамика результатов</t>
  </si>
  <si>
    <t>Положительная 
динамика 
результатов у занимающихся детей</t>
  </si>
  <si>
    <t>Динамика освоения обучающимися/ воспитанниками коррекционных образова-
тельных программ и/или динамика в коррекции отклоняющегося развития с учетом особенностей психического и физического развития ребенка по итогам мониторингов, проводимых организацией</t>
  </si>
  <si>
    <t>Результаты участия обучающихся/ воспитанников в мероприятиях конкурсной направленности (конкурс чтецов и др.)</t>
  </si>
  <si>
    <t xml:space="preserve"> 2.5.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</si>
  <si>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</si>
  <si>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</si>
  <si>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</si>
  <si>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Не
соответствует требованиям</t>
  </si>
  <si>
    <t>Частично соответствует требованиям</t>
  </si>
  <si>
    <t>Полностью соответствует требованиям</t>
  </si>
  <si>
    <t>Работа с родителями по их взаимодействию с детьми по вопросам коррекции и профилактики нарушений речевого развития</t>
  </si>
  <si>
    <t>Оборудование логопедического кабинета:</t>
  </si>
  <si>
    <t>Взаимодействие со специалистами, администрацией обр.орг.</t>
  </si>
  <si>
    <t xml:space="preserve"> 2.6.</t>
  </si>
  <si>
    <t xml:space="preserve"> 2.7.</t>
  </si>
  <si>
    <t xml:space="preserve"> 2.8.</t>
  </si>
  <si>
    <t xml:space="preserve"> - оформление зоны индивидуальной работы с ребенком;
 - наличие и оборудование зоны групповой работы;
 - документация;
 - специальная литература, детская литература;
 - инструментарий логопедической диагностики;
 - коррекционно-развивающие пособия;
 - технические средства и др.</t>
  </si>
  <si>
    <t>Логопедическая диагностика обучающихся/воспитанников с целью осуществления индивидуального и дифференцированного подхода
(первичное обследование, представление детей на ПМПк1, консультацию ПМПК2 и др.)</t>
  </si>
  <si>
    <t>Осуществляется систематически,
по плану, в соответствии с потребностями участников коррекционно-воспитательного процесса, запросами администрации</t>
  </si>
  <si>
    <t>Организация логопедической работы по коррекции и устранению речевых нарушений:</t>
  </si>
  <si>
    <t xml:space="preserve"> 2.4.</t>
  </si>
  <si>
    <t xml:space="preserve"> - подбор коррекционных программ на основе дифференцированного подхода с учетом структуры речевого дефекта;
 - разработка индивидуальных программ коррекционно-развивающей работы с учетом психофизиологических особенностей ребенка;
 - оптимальное сочетание проведения индивидуальных, подгрупповых и фронтальных занятий с учетом структуры речевого дефекта</t>
  </si>
  <si>
    <t xml:space="preserve">Не 
осуществляется
</t>
  </si>
  <si>
    <t>Выявление и использование ресурсных возможностей обучающихся/воспитанников в коррекционной работе</t>
  </si>
  <si>
    <t>Содействие в подготовке обучающихся/воспитанников к мероприятиям конкурсной направленности (конкурс чтецов и др.)</t>
  </si>
  <si>
    <t xml:space="preserve">
Не 
осуществляется
</t>
  </si>
  <si>
    <t xml:space="preserve">
Осуществляется периодически,
по запросу</t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</si>
  <si>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</si>
  <si>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t>Наглядные методы (демонстрация, показ, действия со схемами и таблицами и др.)</t>
  </si>
  <si>
    <t>5.</t>
  </si>
  <si>
    <r>
      <t>Практические методы</t>
    </r>
    <r>
      <rPr>
        <i/>
        <sz val="11"/>
        <rFont val="Times New Roman"/>
        <family val="1"/>
      </rPr>
      <t xml:space="preserve"> 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</si>
  <si>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</si>
  <si>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</si>
  <si>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</si>
  <si>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</si>
  <si>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</si>
  <si>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</si>
  <si>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</si>
  <si>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Проведение открытых, занятий, мероприятий, мастер-классов и др.</t>
  </si>
  <si>
    <t xml:space="preserve">Муниципальный 
 уровень
</t>
  </si>
  <si>
    <t>Участие в деятельности экспертных групп, профессиональных ассоциаций, постоянно действующих семинаров (ПДС), психолого-медико-педагогических консилиумов (ПМПк), психолого-медико-педагогических комиссий (ПМПК)</t>
  </si>
  <si>
    <t xml:space="preserve">Руководство методическими объединениями </t>
  </si>
  <si>
    <t>Общая информация (для учета в ЭЗ)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</si>
  <si>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деятельности):</t>
    </r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</si>
  <si>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</si>
  <si>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</si>
  <si>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</si>
  <si>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</si>
  <si>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результат Соотв.илиНЕ соотв.(с листа ЭЗ)</t>
  </si>
  <si>
    <t>Рек_итог -ИТОГовая формула -&gt;</t>
  </si>
  <si>
    <t>изменено июль.2021г.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</si>
  <si>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</si>
  <si>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 xml:space="preserve"> - - - -  - - - -  - - - -  - - - -  - - - -  - - - -  - - - -  - - - -  
 учителя-логопеда, логопеда*
 - - - -  - - - -  - - - -  - - - -  - - - -  - - - -  - - - -  - - - -  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</si>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</sst>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8"/>
      <color indexed="36"/>
      <name val="Times New Roman"/>
      <family val="1"/>
    </font>
    <font>
      <sz val="3"/>
      <name val="Tahoma"/>
      <family val="2"/>
    </font>
    <font>
      <sz val="9"/>
      <color indexed="57"/>
      <name val="Arial Cyr"/>
      <family val="0"/>
    </font>
    <font>
      <b/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sz val="8"/>
      <color indexed="47"/>
      <name val="Times New Roman"/>
      <family val="1"/>
    </font>
    <font>
      <sz val="7"/>
      <color indexed="36"/>
      <name val="Arial Cyr"/>
      <family val="0"/>
    </font>
    <font>
      <sz val="8"/>
      <color indexed="53"/>
      <name val="Arial Cyr"/>
      <family val="0"/>
    </font>
    <font>
      <b/>
      <i/>
      <sz val="10"/>
      <color indexed="10"/>
      <name val="Arial"/>
      <family val="2"/>
    </font>
    <font>
      <sz val="10.5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23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theme="5" tint="0.39998000860214233"/>
      <name val="Times New Roman"/>
      <family val="1"/>
    </font>
    <font>
      <sz val="8"/>
      <color rgb="FF00B050"/>
      <name val="Arial Cyr"/>
      <family val="0"/>
    </font>
    <font>
      <sz val="7"/>
      <color rgb="FF7030A0"/>
      <name val="Arial Cyr"/>
      <family val="0"/>
    </font>
    <font>
      <sz val="8"/>
      <color theme="5" tint="-0.24997000396251678"/>
      <name val="Arial Cyr"/>
      <family val="0"/>
    </font>
    <font>
      <sz val="10"/>
      <color rgb="FF0000FF"/>
      <name val="Times New Roman"/>
      <family val="1"/>
    </font>
    <font>
      <b/>
      <i/>
      <sz val="10"/>
      <color rgb="FFFF0000"/>
      <name val="Arial"/>
      <family val="2"/>
    </font>
    <font>
      <sz val="10.5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FF0000"/>
      <name val="Calibri"/>
      <family val="2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i/>
      <sz val="9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4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40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1" borderId="17" xfId="0" applyFont="1" applyFill="1" applyBorder="1" applyAlignment="1" applyProtection="1">
      <alignment horizontal="center" vertical="center"/>
      <protection hidden="1"/>
    </xf>
    <xf numFmtId="0" fontId="222" fillId="42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2" borderId="21" xfId="0" applyFont="1" applyFill="1" applyBorder="1" applyAlignment="1" applyProtection="1">
      <alignment horizontal="center" vertical="center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0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3" borderId="17" xfId="0" applyFont="1" applyFill="1" applyBorder="1" applyAlignment="1" applyProtection="1">
      <alignment horizontal="left"/>
      <protection hidden="1"/>
    </xf>
    <xf numFmtId="17" fontId="71" fillId="44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5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2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1" borderId="0" xfId="0" applyFont="1" applyFill="1" applyAlignment="1">
      <alignment/>
    </xf>
    <xf numFmtId="0" fontId="229" fillId="41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1" borderId="0" xfId="0" applyFont="1" applyFill="1" applyAlignment="1">
      <alignment/>
    </xf>
    <xf numFmtId="0" fontId="230" fillId="41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6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47" borderId="12" xfId="0" applyFont="1" applyFill="1" applyBorder="1" applyAlignment="1" applyProtection="1">
      <alignment horizontal="left" vertical="top" indent="1"/>
      <protection hidden="1"/>
    </xf>
    <xf numFmtId="0" fontId="243" fillId="47" borderId="0" xfId="0" applyFont="1" applyFill="1" applyBorder="1" applyAlignment="1" applyProtection="1">
      <alignment horizontal="center" vertical="center"/>
      <protection hidden="1"/>
    </xf>
    <xf numFmtId="0" fontId="243" fillId="47" borderId="0" xfId="0" applyFont="1" applyFill="1" applyBorder="1" applyAlignment="1" applyProtection="1">
      <alignment horizontal="center" vertical="top"/>
      <protection hidden="1"/>
    </xf>
    <xf numFmtId="0" fontId="17" fillId="47" borderId="13" xfId="0" applyFont="1" applyFill="1" applyBorder="1" applyAlignment="1" applyProtection="1">
      <alignment vertical="top"/>
      <protection hidden="1"/>
    </xf>
    <xf numFmtId="0" fontId="0" fillId="47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48" borderId="0" xfId="0" applyFont="1" applyFill="1" applyAlignment="1" applyProtection="1">
      <alignment horizontal="left"/>
      <protection hidden="1"/>
    </xf>
    <xf numFmtId="0" fontId="245" fillId="47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47" borderId="23" xfId="0" applyFont="1" applyFill="1" applyBorder="1" applyAlignment="1" applyProtection="1">
      <alignment horizontal="left" vertical="center"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249" fillId="0" borderId="14" xfId="0" applyFont="1" applyBorder="1" applyAlignment="1" applyProtection="1">
      <alignment wrapText="1"/>
      <protection hidden="1"/>
    </xf>
    <xf numFmtId="0" fontId="250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51" fillId="23" borderId="0" xfId="0" applyFont="1" applyFill="1" applyAlignment="1" applyProtection="1">
      <alignment/>
      <protection hidden="1"/>
    </xf>
    <xf numFmtId="0" fontId="25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3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4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47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47" borderId="0" xfId="0" applyFont="1" applyFill="1" applyBorder="1" applyAlignment="1" applyProtection="1">
      <alignment horizontal="right"/>
      <protection hidden="1"/>
    </xf>
    <xf numFmtId="0" fontId="256" fillId="47" borderId="0" xfId="0" applyFont="1" applyFill="1" applyBorder="1" applyAlignment="1" applyProtection="1">
      <alignment horizontal="left"/>
      <protection hidden="1"/>
    </xf>
    <xf numFmtId="0" fontId="84" fillId="48" borderId="0" xfId="0" applyFont="1" applyFill="1" applyBorder="1" applyAlignment="1" applyProtection="1">
      <alignment horizontal="left"/>
      <protection hidden="1"/>
    </xf>
    <xf numFmtId="0" fontId="240" fillId="47" borderId="0" xfId="0" applyFont="1" applyFill="1" applyBorder="1" applyAlignment="1" applyProtection="1">
      <alignment horizontal="left" vertical="center"/>
      <protection hidden="1"/>
    </xf>
    <xf numFmtId="0" fontId="240" fillId="48" borderId="0" xfId="0" applyFont="1" applyFill="1" applyBorder="1" applyAlignment="1" applyProtection="1">
      <alignment horizontal="left" vertical="center"/>
      <protection hidden="1"/>
    </xf>
    <xf numFmtId="0" fontId="0" fillId="47" borderId="12" xfId="0" applyFill="1" applyBorder="1" applyAlignment="1" applyProtection="1">
      <alignment/>
      <protection hidden="1"/>
    </xf>
    <xf numFmtId="0" fontId="256" fillId="47" borderId="0" xfId="0" applyFont="1" applyFill="1" applyBorder="1" applyAlignment="1" applyProtection="1">
      <alignment horizontal="left" vertical="top"/>
      <protection hidden="1"/>
    </xf>
    <xf numFmtId="0" fontId="240" fillId="48" borderId="0" xfId="0" applyFont="1" applyFill="1" applyBorder="1" applyAlignment="1" applyProtection="1">
      <alignment horizontal="left" vertical="top"/>
      <protection hidden="1"/>
    </xf>
    <xf numFmtId="0" fontId="257" fillId="0" borderId="12" xfId="0" applyFont="1" applyBorder="1" applyAlignment="1" applyProtection="1">
      <alignment/>
      <protection hidden="1"/>
    </xf>
    <xf numFmtId="0" fontId="257" fillId="0" borderId="0" xfId="0" applyFont="1" applyBorder="1" applyAlignment="1" applyProtection="1">
      <alignment/>
      <protection hidden="1"/>
    </xf>
    <xf numFmtId="0" fontId="258" fillId="47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9" fillId="5" borderId="15" xfId="42" applyFont="1" applyFill="1" applyBorder="1" applyAlignment="1" applyProtection="1">
      <alignment horizontal="center"/>
      <protection hidden="1"/>
    </xf>
    <xf numFmtId="0" fontId="259" fillId="5" borderId="12" xfId="42" applyFont="1" applyFill="1" applyBorder="1" applyAlignment="1" applyProtection="1">
      <alignment horizontal="center"/>
      <protection hidden="1"/>
    </xf>
    <xf numFmtId="0" fontId="259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260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1" fillId="0" borderId="17" xfId="0" applyFont="1" applyBorder="1" applyAlignment="1" applyProtection="1">
      <alignment/>
      <protection locked="0"/>
    </xf>
    <xf numFmtId="0" fontId="262" fillId="0" borderId="0" xfId="0" applyFont="1" applyAlignment="1" applyProtection="1">
      <alignment/>
      <protection hidden="1"/>
    </xf>
    <xf numFmtId="0" fontId="263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5" fillId="0" borderId="14" xfId="0" applyFont="1" applyBorder="1" applyAlignment="1" applyProtection="1">
      <alignment/>
      <protection hidden="1"/>
    </xf>
    <xf numFmtId="0" fontId="264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5" fillId="4" borderId="0" xfId="0" applyFont="1" applyFill="1" applyBorder="1" applyAlignment="1" applyProtection="1">
      <alignment horizontal="left"/>
      <protection hidden="1"/>
    </xf>
    <xf numFmtId="0" fontId="265" fillId="4" borderId="0" xfId="0" applyFont="1" applyFill="1" applyBorder="1" applyAlignment="1" applyProtection="1">
      <alignment horizontal="center"/>
      <protection hidden="1"/>
    </xf>
    <xf numFmtId="0" fontId="265" fillId="4" borderId="0" xfId="0" applyFont="1" applyFill="1" applyBorder="1" applyAlignment="1" applyProtection="1">
      <alignment/>
      <protection hidden="1"/>
    </xf>
    <xf numFmtId="0" fontId="265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6" fillId="4" borderId="3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5" fillId="4" borderId="0" xfId="0" applyFont="1" applyFill="1" applyBorder="1" applyAlignment="1" applyProtection="1">
      <alignment horizontal="left" vertical="top"/>
      <protection hidden="1"/>
    </xf>
    <xf numFmtId="0" fontId="265" fillId="4" borderId="0" xfId="0" applyFont="1" applyFill="1" applyBorder="1" applyAlignment="1" applyProtection="1">
      <alignment horizontal="center" vertical="top"/>
      <protection hidden="1"/>
    </xf>
    <xf numFmtId="0" fontId="265" fillId="4" borderId="0" xfId="0" applyFont="1" applyFill="1" applyBorder="1" applyAlignment="1" applyProtection="1">
      <alignment vertical="top"/>
      <protection hidden="1"/>
    </xf>
    <xf numFmtId="0" fontId="265" fillId="4" borderId="11" xfId="0" applyFont="1" applyFill="1" applyBorder="1" applyAlignment="1" applyProtection="1">
      <alignment horizontal="left" vertical="top"/>
      <protection hidden="1"/>
    </xf>
    <xf numFmtId="0" fontId="0" fillId="4" borderId="31" xfId="0" applyFont="1" applyFill="1" applyBorder="1" applyAlignment="1" applyProtection="1">
      <alignment horizontal="right"/>
      <protection hidden="1"/>
    </xf>
    <xf numFmtId="0" fontId="0" fillId="4" borderId="31" xfId="0" applyFont="1" applyFill="1" applyBorder="1" applyAlignment="1" applyProtection="1">
      <alignment horizontal="center"/>
      <protection hidden="1"/>
    </xf>
    <xf numFmtId="0" fontId="0" fillId="4" borderId="31" xfId="0" applyFont="1" applyFill="1" applyBorder="1" applyAlignment="1" applyProtection="1">
      <alignment horizontal="left"/>
      <protection hidden="1"/>
    </xf>
    <xf numFmtId="0" fontId="0" fillId="4" borderId="31" xfId="0" applyFont="1" applyFill="1" applyBorder="1" applyAlignment="1" applyProtection="1">
      <alignment/>
      <protection hidden="1"/>
    </xf>
    <xf numFmtId="0" fontId="0" fillId="4" borderId="32" xfId="0" applyFont="1" applyFill="1" applyBorder="1" applyAlignment="1" applyProtection="1">
      <alignment horizontal="left"/>
      <protection hidden="1"/>
    </xf>
    <xf numFmtId="0" fontId="267" fillId="4" borderId="31" xfId="0" applyFont="1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4" fillId="4" borderId="31" xfId="0" applyFont="1" applyFill="1" applyBorder="1" applyAlignment="1" applyProtection="1">
      <alignment/>
      <protection hidden="1"/>
    </xf>
    <xf numFmtId="0" fontId="0" fillId="4" borderId="33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8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9" fillId="0" borderId="0" xfId="0" applyFont="1" applyAlignment="1" applyProtection="1">
      <alignment/>
      <protection hidden="1"/>
    </xf>
    <xf numFmtId="0" fontId="270" fillId="4" borderId="31" xfId="0" applyFont="1" applyFill="1" applyBorder="1" applyAlignment="1" applyProtection="1">
      <alignment horizontal="right"/>
      <protection hidden="1"/>
    </xf>
    <xf numFmtId="0" fontId="270" fillId="4" borderId="31" xfId="0" applyFont="1" applyFill="1" applyBorder="1" applyAlignment="1" applyProtection="1">
      <alignment horizontal="center"/>
      <protection hidden="1"/>
    </xf>
    <xf numFmtId="0" fontId="270" fillId="4" borderId="31" xfId="0" applyFont="1" applyFill="1" applyBorder="1" applyAlignment="1" applyProtection="1">
      <alignment horizontal="left"/>
      <protection hidden="1"/>
    </xf>
    <xf numFmtId="0" fontId="270" fillId="4" borderId="31" xfId="0" applyFont="1" applyFill="1" applyBorder="1" applyAlignment="1" applyProtection="1">
      <alignment/>
      <protection hidden="1"/>
    </xf>
    <xf numFmtId="0" fontId="270" fillId="4" borderId="32" xfId="0" applyFont="1" applyFill="1" applyBorder="1" applyAlignment="1" applyProtection="1">
      <alignment horizontal="left"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 horizontal="right"/>
      <protection hidden="1"/>
    </xf>
    <xf numFmtId="0" fontId="271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2" fillId="5" borderId="11" xfId="0" applyFont="1" applyFill="1" applyBorder="1" applyAlignment="1" applyProtection="1">
      <alignment horizontal="left"/>
      <protection hidden="1"/>
    </xf>
    <xf numFmtId="0" fontId="273" fillId="0" borderId="17" xfId="0" applyFont="1" applyBorder="1" applyAlignment="1" applyProtection="1">
      <alignment horizontal="center" vertical="center"/>
      <protection hidden="1"/>
    </xf>
    <xf numFmtId="0" fontId="274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9" fillId="0" borderId="0" xfId="0" applyFont="1" applyBorder="1" applyAlignment="1" applyProtection="1">
      <alignment wrapText="1"/>
      <protection hidden="1"/>
    </xf>
    <xf numFmtId="0" fontId="275" fillId="5" borderId="0" xfId="0" applyFont="1" applyFill="1" applyBorder="1" applyAlignment="1" applyProtection="1">
      <alignment horizontal="center"/>
      <protection hidden="1"/>
    </xf>
    <xf numFmtId="0" fontId="276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2" fillId="5" borderId="0" xfId="0" applyFont="1" applyFill="1" applyBorder="1" applyAlignment="1" applyProtection="1">
      <alignment horizontal="left" vertical="top" indent="2"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5" fillId="4" borderId="34" xfId="0" applyFont="1" applyFill="1" applyBorder="1" applyAlignment="1" applyProtection="1">
      <alignment horizontal="center"/>
      <protection hidden="1"/>
    </xf>
    <xf numFmtId="0" fontId="265" fillId="4" borderId="34" xfId="0" applyFont="1" applyFill="1" applyBorder="1" applyAlignment="1" applyProtection="1">
      <alignment horizontal="left"/>
      <protection hidden="1"/>
    </xf>
    <xf numFmtId="0" fontId="265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265" fillId="3" borderId="36" xfId="0" applyFont="1" applyFill="1" applyBorder="1" applyAlignment="1" applyProtection="1">
      <alignment horizontal="center"/>
      <protection hidden="1"/>
    </xf>
    <xf numFmtId="0" fontId="265" fillId="3" borderId="36" xfId="0" applyFont="1" applyFill="1" applyBorder="1" applyAlignment="1" applyProtection="1">
      <alignment horizontal="left"/>
      <protection hidden="1"/>
    </xf>
    <xf numFmtId="0" fontId="265" fillId="3" borderId="36" xfId="0" applyFont="1" applyFill="1" applyBorder="1" applyAlignment="1" applyProtection="1">
      <alignment/>
      <protection hidden="1"/>
    </xf>
    <xf numFmtId="0" fontId="0" fillId="3" borderId="37" xfId="0" applyFont="1" applyFill="1" applyBorder="1" applyAlignment="1" applyProtection="1">
      <alignment horizontal="left"/>
      <protection hidden="1"/>
    </xf>
    <xf numFmtId="0" fontId="0" fillId="3" borderId="36" xfId="0" applyFont="1" applyFill="1" applyBorder="1" applyAlignment="1" applyProtection="1">
      <alignment/>
      <protection hidden="1"/>
    </xf>
    <xf numFmtId="0" fontId="0" fillId="3" borderId="31" xfId="0" applyFont="1" applyFill="1" applyBorder="1" applyAlignment="1" applyProtection="1">
      <alignment horizontal="right"/>
      <protection hidden="1"/>
    </xf>
    <xf numFmtId="0" fontId="269" fillId="3" borderId="31" xfId="0" applyFont="1" applyFill="1" applyBorder="1" applyAlignment="1" applyProtection="1">
      <alignment horizontal="center"/>
      <protection hidden="1"/>
    </xf>
    <xf numFmtId="0" fontId="269" fillId="3" borderId="31" xfId="0" applyFont="1" applyFill="1" applyBorder="1" applyAlignment="1" applyProtection="1">
      <alignment horizontal="left"/>
      <protection hidden="1"/>
    </xf>
    <xf numFmtId="0" fontId="269" fillId="3" borderId="31" xfId="0" applyFont="1" applyFill="1" applyBorder="1" applyAlignment="1" applyProtection="1">
      <alignment/>
      <protection hidden="1"/>
    </xf>
    <xf numFmtId="0" fontId="269" fillId="3" borderId="31" xfId="0" applyFont="1" applyFill="1" applyBorder="1" applyAlignment="1" applyProtection="1">
      <alignment horizontal="right"/>
      <protection hidden="1"/>
    </xf>
    <xf numFmtId="0" fontId="277" fillId="3" borderId="36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4" fontId="278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9" fillId="11" borderId="0" xfId="0" applyFont="1" applyFill="1" applyBorder="1" applyAlignment="1" applyProtection="1">
      <alignment horizontal="left" vertical="top"/>
      <protection hidden="1"/>
    </xf>
    <xf numFmtId="0" fontId="280" fillId="11" borderId="0" xfId="0" applyFont="1" applyFill="1" applyBorder="1" applyAlignment="1" applyProtection="1">
      <alignment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1" fillId="0" borderId="0" xfId="0" applyFont="1" applyBorder="1" applyAlignment="1" applyProtection="1">
      <alignment vertical="top" wrapText="1"/>
      <protection hidden="1"/>
    </xf>
    <xf numFmtId="0" fontId="281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28" xfId="0" applyFont="1" applyBorder="1" applyAlignment="1" applyProtection="1">
      <alignment horizontal="center" vertical="center" wrapText="1"/>
      <protection hidden="1"/>
    </xf>
    <xf numFmtId="0" fontId="244" fillId="2" borderId="28" xfId="0" applyFont="1" applyFill="1" applyBorder="1" applyAlignment="1" applyProtection="1">
      <alignment horizontal="center" vertical="center" wrapText="1"/>
      <protection hidden="1"/>
    </xf>
    <xf numFmtId="0" fontId="12" fillId="49" borderId="28" xfId="0" applyFont="1" applyFill="1" applyBorder="1" applyAlignment="1" applyProtection="1">
      <alignment horizontal="center" vertical="center" wrapText="1"/>
      <protection hidden="1"/>
    </xf>
    <xf numFmtId="0" fontId="281" fillId="17" borderId="0" xfId="0" applyFont="1" applyFill="1" applyBorder="1" applyAlignment="1" applyProtection="1">
      <alignment horizontal="right" vertical="center"/>
      <protection hidden="1"/>
    </xf>
    <xf numFmtId="0" fontId="278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0" xfId="0" applyFill="1" applyBorder="1" applyAlignment="1" applyProtection="1">
      <alignment vertical="top"/>
      <protection hidden="1"/>
    </xf>
    <xf numFmtId="0" fontId="34" fillId="5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282" fillId="0" borderId="12" xfId="0" applyFont="1" applyFill="1" applyBorder="1" applyAlignment="1" applyProtection="1">
      <alignment horizontal="left"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3" fillId="0" borderId="0" xfId="0" applyFont="1" applyAlignment="1" applyProtection="1">
      <alignment/>
      <protection hidden="1"/>
    </xf>
    <xf numFmtId="0" fontId="279" fillId="11" borderId="22" xfId="0" applyFont="1" applyFill="1" applyBorder="1" applyAlignment="1" applyProtection="1">
      <alignment horizontal="center" vertical="center" wrapText="1"/>
      <protection hidden="1"/>
    </xf>
    <xf numFmtId="0" fontId="242" fillId="0" borderId="12" xfId="0" applyFont="1" applyFill="1" applyBorder="1" applyAlignment="1" applyProtection="1">
      <alignment horizontal="right" vertical="center"/>
      <protection hidden="1"/>
    </xf>
    <xf numFmtId="0" fontId="17" fillId="34" borderId="13" xfId="0" applyFont="1" applyFill="1" applyBorder="1" applyAlignment="1" applyProtection="1">
      <alignment horizontal="left" vertical="center"/>
      <protection hidden="1"/>
    </xf>
    <xf numFmtId="0" fontId="226" fillId="51" borderId="13" xfId="0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63" fillId="52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4" fillId="53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>
      <alignment horizontal="left" wrapText="1" indent="2"/>
    </xf>
    <xf numFmtId="0" fontId="284" fillId="0" borderId="0" xfId="0" applyFont="1" applyBorder="1" applyAlignment="1" applyProtection="1">
      <alignment horizontal="center"/>
      <protection hidden="1"/>
    </xf>
    <xf numFmtId="0" fontId="122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>
      <alignment horizontal="center" wrapText="1"/>
    </xf>
    <xf numFmtId="0" fontId="48" fillId="0" borderId="0" xfId="0" applyFont="1" applyBorder="1" applyAlignment="1" applyProtection="1">
      <alignment horizontal="center" wrapText="1"/>
      <protection hidden="1"/>
    </xf>
    <xf numFmtId="0" fontId="247" fillId="5" borderId="0" xfId="0" applyFont="1" applyFill="1" applyBorder="1" applyAlignment="1" applyProtection="1">
      <alignment vertical="top" wrapText="1"/>
      <protection hidden="1"/>
    </xf>
    <xf numFmtId="0" fontId="32" fillId="5" borderId="0" xfId="0" applyFont="1" applyFill="1" applyBorder="1" applyAlignment="1" applyProtection="1">
      <alignment vertical="top" wrapText="1"/>
      <protection hidden="1"/>
    </xf>
    <xf numFmtId="0" fontId="285" fillId="5" borderId="0" xfId="0" applyFont="1" applyFill="1" applyBorder="1" applyAlignment="1" applyProtection="1">
      <alignment vertical="top" wrapText="1"/>
      <protection hidden="1"/>
    </xf>
    <xf numFmtId="0" fontId="12" fillId="5" borderId="0" xfId="0" applyFont="1" applyFill="1" applyBorder="1" applyAlignment="1" applyProtection="1">
      <alignment vertical="top" wrapText="1"/>
      <protection hidden="1"/>
    </xf>
    <xf numFmtId="0" fontId="286" fillId="11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125" fillId="0" borderId="0" xfId="0" applyFont="1" applyBorder="1" applyAlignment="1" applyProtection="1">
      <alignment horizontal="left"/>
      <protection hidden="1"/>
    </xf>
    <xf numFmtId="0" fontId="287" fillId="0" borderId="0" xfId="0" applyFont="1" applyBorder="1" applyAlignment="1" applyProtection="1">
      <alignment horizontal="center" vertical="center"/>
      <protection hidden="1"/>
    </xf>
    <xf numFmtId="49" fontId="227" fillId="0" borderId="0" xfId="0" applyNumberFormat="1" applyFont="1" applyAlignment="1" applyProtection="1">
      <alignment/>
      <protection hidden="1"/>
    </xf>
    <xf numFmtId="0" fontId="288" fillId="0" borderId="0" xfId="0" applyFont="1" applyAlignment="1" applyProtection="1">
      <alignment horizontal="justify" vertical="top" wrapText="1"/>
      <protection hidden="1"/>
    </xf>
    <xf numFmtId="0" fontId="278" fillId="0" borderId="15" xfId="0" applyFont="1" applyBorder="1" applyAlignment="1" applyProtection="1">
      <alignment horizontal="center" vertical="top"/>
      <protection hidden="1"/>
    </xf>
    <xf numFmtId="0" fontId="278" fillId="0" borderId="12" xfId="0" applyFont="1" applyBorder="1" applyAlignment="1" applyProtection="1">
      <alignment horizontal="center" vertical="top"/>
      <protection hidden="1"/>
    </xf>
    <xf numFmtId="0" fontId="278" fillId="0" borderId="23" xfId="0" applyFont="1" applyBorder="1" applyAlignment="1" applyProtection="1">
      <alignment horizontal="center" vertical="top"/>
      <protection hidden="1"/>
    </xf>
    <xf numFmtId="0" fontId="289" fillId="5" borderId="20" xfId="0" applyFont="1" applyFill="1" applyBorder="1" applyAlignment="1" applyProtection="1">
      <alignment vertical="center"/>
      <protection hidden="1"/>
    </xf>
    <xf numFmtId="0" fontId="240" fillId="5" borderId="0" xfId="0" applyFont="1" applyFill="1" applyAlignment="1" applyProtection="1">
      <alignment horizontal="right" indent="1"/>
      <protection hidden="1"/>
    </xf>
    <xf numFmtId="0" fontId="240" fillId="35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6" fillId="0" borderId="13" xfId="0" applyFont="1" applyFill="1" applyBorder="1" applyAlignment="1" applyProtection="1">
      <alignment horizontal="left"/>
      <protection hidden="1"/>
    </xf>
    <xf numFmtId="0" fontId="290" fillId="34" borderId="0" xfId="54" applyFont="1" applyFill="1" applyBorder="1" applyAlignment="1" applyProtection="1">
      <alignment vertical="center"/>
      <protection hidden="1"/>
    </xf>
    <xf numFmtId="0" fontId="290" fillId="36" borderId="0" xfId="54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0" borderId="0" xfId="0" applyFill="1" applyAlignment="1" applyProtection="1" quotePrefix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5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14" fontId="291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82" fillId="0" borderId="0" xfId="0" applyFont="1" applyFill="1" applyBorder="1" applyAlignment="1" applyProtection="1">
      <alignment horizontal="left" wrapText="1" indent="2"/>
      <protection hidden="1"/>
    </xf>
    <xf numFmtId="0" fontId="82" fillId="0" borderId="13" xfId="0" applyFont="1" applyFill="1" applyBorder="1" applyAlignment="1" applyProtection="1">
      <alignment horizontal="left" wrapText="1" indent="2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38" xfId="0" applyFont="1" applyFill="1" applyBorder="1" applyAlignment="1" applyProtection="1">
      <alignment horizontal="center" vertical="top"/>
      <protection locked="0"/>
    </xf>
    <xf numFmtId="0" fontId="102" fillId="5" borderId="39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53" borderId="12" xfId="0" applyFont="1" applyFill="1" applyBorder="1" applyAlignment="1" applyProtection="1">
      <alignment horizontal="left" vertical="center" wrapText="1" indent="1"/>
      <protection hidden="1"/>
    </xf>
    <xf numFmtId="0" fontId="50" fillId="53" borderId="0" xfId="0" applyFont="1" applyFill="1" applyBorder="1" applyAlignment="1" applyProtection="1">
      <alignment horizontal="left" vertical="center" wrapText="1" indent="1"/>
      <protection hidden="1"/>
    </xf>
    <xf numFmtId="0" fontId="50" fillId="53" borderId="13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2" fillId="0" borderId="12" xfId="0" applyFont="1" applyFill="1" applyBorder="1" applyAlignment="1" applyProtection="1">
      <alignment horizontal="left" vertical="top" wrapText="1" indent="2"/>
      <protection hidden="1"/>
    </xf>
    <xf numFmtId="0" fontId="292" fillId="0" borderId="0" xfId="0" applyFont="1" applyFill="1" applyBorder="1" applyAlignment="1" applyProtection="1">
      <alignment horizontal="left" vertical="top" wrapText="1" indent="2"/>
      <protection hidden="1"/>
    </xf>
    <xf numFmtId="0" fontId="292" fillId="0" borderId="13" xfId="0" applyFont="1" applyFill="1" applyBorder="1" applyAlignment="1" applyProtection="1">
      <alignment horizontal="left" vertical="top" wrapText="1" indent="2"/>
      <protection hidden="1"/>
    </xf>
    <xf numFmtId="0" fontId="293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94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4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9" fillId="38" borderId="15" xfId="42" applyFont="1" applyFill="1" applyBorder="1" applyAlignment="1" applyProtection="1">
      <alignment horizontal="center" vertical="center"/>
      <protection hidden="1"/>
    </xf>
    <xf numFmtId="0" fontId="59" fillId="38" borderId="19" xfId="42" applyFont="1" applyFill="1" applyBorder="1" applyAlignment="1" applyProtection="1">
      <alignment horizontal="center" vertical="center"/>
      <protection hidden="1"/>
    </xf>
    <xf numFmtId="0" fontId="59" fillId="38" borderId="26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95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>
      <alignment horizontal="center" vertical="center" wrapText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82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13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center" vertical="top" wrapText="1"/>
      <protection hidden="1"/>
    </xf>
    <xf numFmtId="0" fontId="82" fillId="0" borderId="13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 applyProtection="1">
      <alignment horizontal="center" wrapText="1"/>
      <protection hidden="1"/>
    </xf>
    <xf numFmtId="0" fontId="82" fillId="0" borderId="0" xfId="0" applyFont="1" applyBorder="1" applyAlignment="1" applyProtection="1">
      <alignment horizontal="center" wrapText="1"/>
      <protection hidden="1"/>
    </xf>
    <xf numFmtId="0" fontId="82" fillId="0" borderId="13" xfId="0" applyFont="1" applyBorder="1" applyAlignment="1" applyProtection="1">
      <alignment horizontal="center" wrapText="1"/>
      <protection hidden="1"/>
    </xf>
    <xf numFmtId="0" fontId="82" fillId="0" borderId="23" xfId="0" applyFont="1" applyBorder="1" applyAlignment="1" applyProtection="1">
      <alignment horizontal="center" vertical="top" wrapText="1"/>
      <protection hidden="1"/>
    </xf>
    <xf numFmtId="0" fontId="82" fillId="0" borderId="14" xfId="0" applyFont="1" applyBorder="1" applyAlignment="1" applyProtection="1">
      <alignment horizontal="center" vertical="top" wrapText="1"/>
      <protection hidden="1"/>
    </xf>
    <xf numFmtId="0" fontId="82" fillId="0" borderId="18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82" fillId="0" borderId="19" xfId="0" applyFont="1" applyBorder="1" applyAlignment="1" applyProtection="1">
      <alignment horizontal="left" vertical="top" wrapTex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82" fillId="0" borderId="0" xfId="0" applyFont="1" applyAlignment="1">
      <alignment horizontal="justify" vertical="top" wrapText="1"/>
    </xf>
    <xf numFmtId="0" fontId="296" fillId="0" borderId="17" xfId="0" applyFont="1" applyBorder="1" applyAlignment="1" applyProtection="1">
      <alignment horizontal="center" vertical="center"/>
      <protection hidden="1"/>
    </xf>
    <xf numFmtId="0" fontId="278" fillId="0" borderId="19" xfId="0" applyFont="1" applyBorder="1" applyAlignment="1" applyProtection="1">
      <alignment horizontal="center" vertical="center" wrapText="1"/>
      <protection hidden="1"/>
    </xf>
    <xf numFmtId="0" fontId="278" fillId="0" borderId="26" xfId="0" applyFont="1" applyBorder="1" applyAlignment="1" applyProtection="1">
      <alignment horizontal="center" vertical="center" wrapText="1"/>
      <protection hidden="1"/>
    </xf>
    <xf numFmtId="0" fontId="278" fillId="0" borderId="0" xfId="0" applyFont="1" applyBorder="1" applyAlignment="1" applyProtection="1">
      <alignment horizontal="center" vertical="center" wrapText="1"/>
      <protection hidden="1"/>
    </xf>
    <xf numFmtId="0" fontId="278" fillId="0" borderId="13" xfId="0" applyFont="1" applyBorder="1" applyAlignment="1" applyProtection="1">
      <alignment horizontal="center" vertical="center" wrapText="1"/>
      <protection hidden="1"/>
    </xf>
    <xf numFmtId="0" fontId="278" fillId="0" borderId="14" xfId="0" applyFont="1" applyBorder="1" applyAlignment="1" applyProtection="1">
      <alignment horizontal="center" vertical="center" wrapText="1"/>
      <protection hidden="1"/>
    </xf>
    <xf numFmtId="0" fontId="278" fillId="0" borderId="18" xfId="0" applyFont="1" applyBorder="1" applyAlignment="1" applyProtection="1">
      <alignment horizontal="center" vertical="center" wrapText="1"/>
      <protection hidden="1"/>
    </xf>
    <xf numFmtId="0" fontId="297" fillId="0" borderId="12" xfId="0" applyFont="1" applyBorder="1" applyAlignment="1" applyProtection="1">
      <alignment horizontal="left" vertical="top" wrapText="1"/>
      <protection hidden="1"/>
    </xf>
    <xf numFmtId="0" fontId="297" fillId="0" borderId="0" xfId="0" applyFont="1" applyBorder="1" applyAlignment="1" applyProtection="1">
      <alignment horizontal="left" vertical="top" wrapText="1"/>
      <protection hidden="1"/>
    </xf>
    <xf numFmtId="0" fontId="297" fillId="0" borderId="13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287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298" fillId="0" borderId="17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96" fillId="0" borderId="15" xfId="0" applyFont="1" applyBorder="1" applyAlignment="1" applyProtection="1">
      <alignment horizontal="center" vertical="center"/>
      <protection hidden="1"/>
    </xf>
    <xf numFmtId="0" fontId="296" fillId="0" borderId="19" xfId="0" applyFont="1" applyBorder="1" applyAlignment="1" applyProtection="1">
      <alignment horizontal="center" vertical="center"/>
      <protection hidden="1"/>
    </xf>
    <xf numFmtId="0" fontId="296" fillId="0" borderId="26" xfId="0" applyFont="1" applyBorder="1" applyAlignment="1" applyProtection="1">
      <alignment horizontal="center" vertical="center"/>
      <protection hidden="1"/>
    </xf>
    <xf numFmtId="0" fontId="296" fillId="0" borderId="12" xfId="0" applyFont="1" applyBorder="1" applyAlignment="1" applyProtection="1">
      <alignment horizontal="center" vertical="center"/>
      <protection hidden="1"/>
    </xf>
    <xf numFmtId="0" fontId="296" fillId="0" borderId="0" xfId="0" applyFont="1" applyBorder="1" applyAlignment="1" applyProtection="1">
      <alignment horizontal="center" vertical="center"/>
      <protection hidden="1"/>
    </xf>
    <xf numFmtId="0" fontId="296" fillId="0" borderId="13" xfId="0" applyFont="1" applyBorder="1" applyAlignment="1" applyProtection="1">
      <alignment horizontal="center" vertical="center"/>
      <protection hidden="1"/>
    </xf>
    <xf numFmtId="0" fontId="296" fillId="0" borderId="23" xfId="0" applyFont="1" applyBorder="1" applyAlignment="1" applyProtection="1">
      <alignment horizontal="center" vertical="center"/>
      <protection hidden="1"/>
    </xf>
    <xf numFmtId="0" fontId="296" fillId="0" borderId="14" xfId="0" applyFont="1" applyBorder="1" applyAlignment="1" applyProtection="1">
      <alignment horizontal="center" vertical="center"/>
      <protection hidden="1"/>
    </xf>
    <xf numFmtId="0" fontId="296" fillId="0" borderId="18" xfId="0" applyFont="1" applyBorder="1" applyAlignment="1" applyProtection="1">
      <alignment horizontal="center" vertical="center"/>
      <protection hidden="1"/>
    </xf>
    <xf numFmtId="0" fontId="299" fillId="0" borderId="15" xfId="0" applyFont="1" applyBorder="1" applyAlignment="1" applyProtection="1">
      <alignment horizontal="left" vertical="top" wrapText="1"/>
      <protection hidden="1"/>
    </xf>
    <xf numFmtId="0" fontId="299" fillId="0" borderId="19" xfId="0" applyFont="1" applyBorder="1" applyAlignment="1" applyProtection="1">
      <alignment horizontal="left" vertical="top" wrapText="1"/>
      <protection hidden="1"/>
    </xf>
    <xf numFmtId="0" fontId="299" fillId="0" borderId="26" xfId="0" applyFont="1" applyBorder="1" applyAlignment="1" applyProtection="1">
      <alignment horizontal="left" vertical="top" wrapText="1"/>
      <protection hidden="1"/>
    </xf>
    <xf numFmtId="0" fontId="299" fillId="0" borderId="12" xfId="0" applyFont="1" applyBorder="1" applyAlignment="1" applyProtection="1">
      <alignment horizontal="left" vertical="top" wrapText="1"/>
      <protection hidden="1"/>
    </xf>
    <xf numFmtId="0" fontId="299" fillId="0" borderId="0" xfId="0" applyFont="1" applyBorder="1" applyAlignment="1" applyProtection="1">
      <alignment horizontal="left" vertical="top" wrapText="1"/>
      <protection hidden="1"/>
    </xf>
    <xf numFmtId="0" fontId="299" fillId="0" borderId="13" xfId="0" applyFont="1" applyBorder="1" applyAlignment="1" applyProtection="1">
      <alignment horizontal="left" vertical="top" wrapText="1"/>
      <protection hidden="1"/>
    </xf>
    <xf numFmtId="0" fontId="222" fillId="42" borderId="0" xfId="0" applyFont="1" applyFill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297" fillId="0" borderId="23" xfId="0" applyFont="1" applyBorder="1" applyAlignment="1" applyProtection="1">
      <alignment horizontal="left" vertical="top" wrapText="1"/>
      <protection hidden="1"/>
    </xf>
    <xf numFmtId="0" fontId="297" fillId="0" borderId="14" xfId="0" applyFont="1" applyBorder="1" applyAlignment="1" applyProtection="1">
      <alignment horizontal="left" vertical="top" wrapText="1"/>
      <protection hidden="1"/>
    </xf>
    <xf numFmtId="0" fontId="297" fillId="0" borderId="18" xfId="0" applyFont="1" applyBorder="1" applyAlignment="1" applyProtection="1">
      <alignment horizontal="left" vertical="top" wrapText="1"/>
      <protection hidden="1"/>
    </xf>
    <xf numFmtId="0" fontId="298" fillId="0" borderId="21" xfId="0" applyFont="1" applyBorder="1" applyAlignment="1" applyProtection="1">
      <alignment horizontal="center" vertical="top"/>
      <protection hidden="1"/>
    </xf>
    <xf numFmtId="0" fontId="298" fillId="0" borderId="20" xfId="0" applyFont="1" applyBorder="1" applyAlignment="1" applyProtection="1">
      <alignment horizontal="center" vertical="top"/>
      <protection hidden="1"/>
    </xf>
    <xf numFmtId="0" fontId="298" fillId="0" borderId="22" xfId="0" applyFont="1" applyBorder="1" applyAlignment="1" applyProtection="1">
      <alignment horizontal="center" vertical="top"/>
      <protection hidden="1"/>
    </xf>
    <xf numFmtId="0" fontId="300" fillId="0" borderId="22" xfId="0" applyFont="1" applyBorder="1" applyAlignment="1" applyProtection="1">
      <alignment horizontal="center" vertical="center" wrapText="1"/>
      <protection hidden="1"/>
    </xf>
    <xf numFmtId="0" fontId="300" fillId="0" borderId="17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300" fillId="0" borderId="15" xfId="0" applyFont="1" applyBorder="1" applyAlignment="1" applyProtection="1">
      <alignment horizontal="center" vertical="center" wrapText="1"/>
      <protection hidden="1" locked="0"/>
    </xf>
    <xf numFmtId="0" fontId="300" fillId="0" borderId="19" xfId="0" applyFont="1" applyBorder="1" applyAlignment="1" applyProtection="1">
      <alignment horizontal="center" vertical="center" wrapText="1"/>
      <protection hidden="1" locked="0"/>
    </xf>
    <xf numFmtId="0" fontId="300" fillId="0" borderId="26" xfId="0" applyFont="1" applyBorder="1" applyAlignment="1" applyProtection="1">
      <alignment horizontal="center" vertical="center" wrapText="1"/>
      <protection hidden="1" locked="0"/>
    </xf>
    <xf numFmtId="0" fontId="300" fillId="0" borderId="23" xfId="0" applyFont="1" applyBorder="1" applyAlignment="1" applyProtection="1">
      <alignment horizontal="center" vertical="center" wrapText="1"/>
      <protection hidden="1" locked="0"/>
    </xf>
    <xf numFmtId="0" fontId="300" fillId="0" borderId="14" xfId="0" applyFont="1" applyBorder="1" applyAlignment="1" applyProtection="1">
      <alignment horizontal="center" vertical="center" wrapText="1"/>
      <protection hidden="1" locked="0"/>
    </xf>
    <xf numFmtId="0" fontId="300" fillId="0" borderId="18" xfId="0" applyFont="1" applyBorder="1" applyAlignment="1" applyProtection="1">
      <alignment horizontal="center" vertical="center" wrapText="1"/>
      <protection hidden="1" locked="0"/>
    </xf>
    <xf numFmtId="0" fontId="80" fillId="0" borderId="0" xfId="0" applyFont="1" applyAlignment="1" applyProtection="1">
      <alignment horizontal="left" vertical="top" inden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 horizontal="justify" vertical="center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278" fillId="0" borderId="15" xfId="0" applyFont="1" applyBorder="1" applyAlignment="1" applyProtection="1">
      <alignment horizontal="center" vertical="center" wrapText="1"/>
      <protection hidden="1"/>
    </xf>
    <xf numFmtId="0" fontId="278" fillId="0" borderId="12" xfId="0" applyFont="1" applyBorder="1" applyAlignment="1" applyProtection="1">
      <alignment horizontal="center" vertical="center" wrapText="1"/>
      <protection hidden="1"/>
    </xf>
    <xf numFmtId="0" fontId="301" fillId="0" borderId="12" xfId="0" applyFont="1" applyBorder="1" applyAlignment="1" applyProtection="1">
      <alignment horizontal="left" vertical="center" indent="1"/>
      <protection hidden="1"/>
    </xf>
    <xf numFmtId="0" fontId="301" fillId="0" borderId="0" xfId="0" applyFont="1" applyBorder="1" applyAlignment="1" applyProtection="1">
      <alignment horizontal="left" vertical="center" indent="1"/>
      <protection hidden="1"/>
    </xf>
    <xf numFmtId="0" fontId="301" fillId="0" borderId="13" xfId="0" applyFont="1" applyBorder="1" applyAlignment="1" applyProtection="1">
      <alignment horizontal="left" vertical="center" indent="1"/>
      <protection hidden="1"/>
    </xf>
    <xf numFmtId="0" fontId="301" fillId="0" borderId="12" xfId="0" applyFont="1" applyBorder="1" applyAlignment="1" applyProtection="1">
      <alignment horizontal="center" vertical="center"/>
      <protection hidden="1"/>
    </xf>
    <xf numFmtId="0" fontId="301" fillId="0" borderId="0" xfId="0" applyFont="1" applyBorder="1" applyAlignment="1" applyProtection="1">
      <alignment horizontal="center" vertical="center"/>
      <protection hidden="1"/>
    </xf>
    <xf numFmtId="0" fontId="301" fillId="0" borderId="13" xfId="0" applyFont="1" applyBorder="1" applyAlignment="1" applyProtection="1">
      <alignment horizontal="center" vertical="center"/>
      <protection hidden="1"/>
    </xf>
    <xf numFmtId="0" fontId="301" fillId="0" borderId="23" xfId="0" applyFont="1" applyBorder="1" applyAlignment="1" applyProtection="1">
      <alignment horizontal="left" vertical="top" indent="1"/>
      <protection hidden="1"/>
    </xf>
    <xf numFmtId="0" fontId="301" fillId="0" borderId="14" xfId="0" applyFont="1" applyBorder="1" applyAlignment="1" applyProtection="1">
      <alignment horizontal="left" vertical="top" indent="1"/>
      <protection hidden="1"/>
    </xf>
    <xf numFmtId="0" fontId="301" fillId="0" borderId="18" xfId="0" applyFont="1" applyBorder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298" fillId="0" borderId="16" xfId="0" applyNumberFormat="1" applyFont="1" applyBorder="1" applyAlignment="1" applyProtection="1">
      <alignment horizontal="center" vertical="center" wrapText="1"/>
      <protection hidden="1"/>
    </xf>
    <xf numFmtId="49" fontId="298" fillId="0" borderId="24" xfId="0" applyNumberFormat="1" applyFont="1" applyBorder="1" applyAlignment="1" applyProtection="1">
      <alignment horizontal="center" vertical="center" wrapText="1"/>
      <protection hidden="1"/>
    </xf>
    <xf numFmtId="49" fontId="298" fillId="0" borderId="25" xfId="0" applyNumberFormat="1" applyFont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6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6495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19600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962275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488</xdr:row>
      <xdr:rowOff>9525</xdr:rowOff>
    </xdr:from>
    <xdr:to>
      <xdr:col>23</xdr:col>
      <xdr:colOff>38100</xdr:colOff>
      <xdr:row>491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71218425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9"/>
        <xdr:cNvGrpSpPr>
          <a:grpSpLocks/>
        </xdr:cNvGrpSpPr>
      </xdr:nvGrpSpPr>
      <xdr:grpSpPr>
        <a:xfrm>
          <a:off x="1371600" y="7572375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01" t="str">
        <f>A129</f>
        <v>Введите данные в ячейки, выделенные голубым и зеленым цветом</v>
      </c>
      <c r="B1" s="702"/>
      <c r="C1" s="702"/>
      <c r="D1" s="702"/>
      <c r="E1" s="702"/>
      <c r="F1" s="702"/>
      <c r="G1" s="702"/>
      <c r="H1" s="702"/>
      <c r="I1" s="702"/>
      <c r="J1" s="703"/>
      <c r="K1" s="1"/>
      <c r="L1" s="2" t="s">
        <v>672</v>
      </c>
      <c r="T1" s="483" t="s">
        <v>323</v>
      </c>
    </row>
    <row r="2" spans="1:20" ht="13.5" customHeight="1">
      <c r="A2" s="704"/>
      <c r="B2" s="705"/>
      <c r="C2" s="705"/>
      <c r="D2" s="705"/>
      <c r="E2" s="705"/>
      <c r="F2" s="705"/>
      <c r="G2" s="705"/>
      <c r="H2" s="705"/>
      <c r="I2" s="705"/>
      <c r="J2" s="706"/>
      <c r="K2" s="1"/>
      <c r="T2" s="592" t="s">
        <v>670</v>
      </c>
    </row>
    <row r="3" spans="1:20" ht="37.5" customHeight="1" thickBot="1">
      <c r="A3" s="707" t="s">
        <v>0</v>
      </c>
      <c r="B3" s="708"/>
      <c r="C3" s="708"/>
      <c r="D3" s="708"/>
      <c r="E3" s="708"/>
      <c r="F3" s="708"/>
      <c r="G3" s="708"/>
      <c r="H3" s="708"/>
      <c r="I3" s="708"/>
      <c r="J3" s="709"/>
      <c r="K3" s="6"/>
      <c r="L3" s="2" t="s">
        <v>671</v>
      </c>
      <c r="M3" s="7"/>
      <c r="S3" s="370"/>
      <c r="T3" s="363"/>
    </row>
    <row r="4" spans="1:20" ht="17.25" customHeight="1" thickBot="1">
      <c r="A4" s="468" t="s">
        <v>1</v>
      </c>
      <c r="B4" s="710">
        <v>4</v>
      </c>
      <c r="C4" s="711"/>
      <c r="D4" s="469"/>
      <c r="E4" s="478" t="s">
        <v>372</v>
      </c>
      <c r="F4" s="470"/>
      <c r="G4" s="471"/>
      <c r="H4" s="715" t="s">
        <v>179</v>
      </c>
      <c r="I4" s="715"/>
      <c r="J4" s="716"/>
      <c r="K4" s="8"/>
      <c r="L4" s="8"/>
      <c r="M4" s="8"/>
      <c r="N4" s="8"/>
      <c r="O4" s="8"/>
      <c r="P4" s="8"/>
      <c r="Q4" s="8"/>
      <c r="S4" s="370"/>
      <c r="T4" s="363"/>
    </row>
    <row r="5" spans="1:20" ht="10.5" customHeight="1">
      <c r="A5" s="472"/>
      <c r="B5" s="469"/>
      <c r="C5" s="469"/>
      <c r="D5" s="469"/>
      <c r="E5" s="479" t="str">
        <f aca="true" t="shared" si="0" ref="E5:E16">VLOOKUP(A132,$A$132:$H$144,$B$4+1)</f>
        <v>Звёздный</v>
      </c>
      <c r="F5" s="473"/>
      <c r="G5" s="365"/>
      <c r="H5" s="692" t="s">
        <v>475</v>
      </c>
      <c r="I5" s="692"/>
      <c r="J5" s="693"/>
      <c r="K5" s="8"/>
      <c r="L5" s="8"/>
      <c r="M5" s="8"/>
      <c r="N5" s="8"/>
      <c r="O5" s="8"/>
      <c r="P5" s="8"/>
      <c r="Q5" s="8"/>
      <c r="S5" s="370"/>
      <c r="T5" s="363"/>
    </row>
    <row r="6" spans="1:20" ht="10.5" customHeight="1">
      <c r="A6" s="472"/>
      <c r="B6" s="469"/>
      <c r="C6" s="469"/>
      <c r="D6" s="469"/>
      <c r="E6" s="479" t="str">
        <f t="shared" si="0"/>
        <v>Королёв</v>
      </c>
      <c r="F6" s="473"/>
      <c r="G6" s="365"/>
      <c r="H6" s="692"/>
      <c r="I6" s="692"/>
      <c r="J6" s="693"/>
      <c r="K6" s="8"/>
      <c r="L6" s="8"/>
      <c r="M6" s="8"/>
      <c r="N6" s="8"/>
      <c r="O6" s="8"/>
      <c r="P6" s="8"/>
      <c r="Q6" s="8"/>
      <c r="S6" s="370"/>
      <c r="T6" s="363"/>
    </row>
    <row r="7" spans="1:20" ht="10.5" customHeight="1">
      <c r="A7" s="472"/>
      <c r="B7" s="469"/>
      <c r="C7" s="469"/>
      <c r="D7" s="469"/>
      <c r="E7" s="479" t="str">
        <f t="shared" si="0"/>
        <v>Лосино-Петровский</v>
      </c>
      <c r="F7" s="473"/>
      <c r="G7" s="365"/>
      <c r="H7" s="692"/>
      <c r="I7" s="692"/>
      <c r="J7" s="693"/>
      <c r="K7" s="8"/>
      <c r="L7" s="8"/>
      <c r="M7" s="8"/>
      <c r="N7" s="8"/>
      <c r="O7" s="8"/>
      <c r="P7" s="8"/>
      <c r="Q7" s="8"/>
      <c r="S7" s="370"/>
      <c r="T7" s="363"/>
    </row>
    <row r="8" spans="1:20" ht="10.5" customHeight="1" thickBot="1">
      <c r="A8" s="472"/>
      <c r="B8" s="469"/>
      <c r="C8" s="469"/>
      <c r="D8" s="469"/>
      <c r="E8" s="479" t="str">
        <f t="shared" si="0"/>
        <v>Мытищи</v>
      </c>
      <c r="F8" s="473"/>
      <c r="G8" s="365"/>
      <c r="H8" s="758" t="s">
        <v>525</v>
      </c>
      <c r="I8" s="758"/>
      <c r="J8" s="759"/>
      <c r="K8" s="8"/>
      <c r="L8" s="558" t="s">
        <v>556</v>
      </c>
      <c r="M8" s="557"/>
      <c r="N8" s="557"/>
      <c r="O8" s="557"/>
      <c r="P8" s="557"/>
      <c r="Q8" s="8"/>
      <c r="S8" s="370"/>
      <c r="T8" s="363"/>
    </row>
    <row r="9" spans="1:20" ht="10.5" customHeight="1" thickTop="1">
      <c r="A9" s="472"/>
      <c r="B9" s="469"/>
      <c r="C9" s="469"/>
      <c r="D9" s="469"/>
      <c r="E9" s="479" t="str">
        <f t="shared" si="0"/>
        <v>Пушкинский</v>
      </c>
      <c r="F9" s="473"/>
      <c r="G9" s="365"/>
      <c r="H9" s="758"/>
      <c r="I9" s="758"/>
      <c r="J9" s="759"/>
      <c r="K9" s="8"/>
      <c r="L9" s="9"/>
      <c r="M9" s="9"/>
      <c r="N9" s="9"/>
      <c r="O9" s="9"/>
      <c r="P9" s="9"/>
      <c r="S9" s="370"/>
      <c r="T9" s="363"/>
    </row>
    <row r="10" spans="1:20" ht="10.5" customHeight="1">
      <c r="A10" s="472"/>
      <c r="B10" s="469"/>
      <c r="C10" s="469"/>
      <c r="D10" s="469"/>
      <c r="E10" s="479" t="str">
        <f t="shared" si="0"/>
        <v>Сергиево-Посадский</v>
      </c>
      <c r="F10" s="473"/>
      <c r="G10" s="365"/>
      <c r="H10" s="758"/>
      <c r="I10" s="758"/>
      <c r="J10" s="759"/>
      <c r="K10" s="8"/>
      <c r="L10" s="11"/>
      <c r="N10" s="554"/>
      <c r="O10" s="556" t="str">
        <f>"порог для __"&amp;ЗаявлКатег_ОС&amp;"__"&amp;B27</f>
        <v>порог для __первая__учитель-логопед</v>
      </c>
      <c r="P10" s="555">
        <f>VLOOKUP(ЗаявлКатег_ОС,M12:N13,2)</f>
        <v>260</v>
      </c>
      <c r="S10" s="370"/>
      <c r="T10" s="363"/>
    </row>
    <row r="11" spans="1:20" ht="10.5" customHeight="1">
      <c r="A11" s="472"/>
      <c r="B11" s="469"/>
      <c r="C11" s="469"/>
      <c r="D11" s="469"/>
      <c r="E11" s="479" t="str">
        <f t="shared" si="0"/>
        <v>Фрязино</v>
      </c>
      <c r="F11" s="473"/>
      <c r="G11" s="365"/>
      <c r="H11" s="758"/>
      <c r="I11" s="758"/>
      <c r="J11" s="759"/>
      <c r="K11" s="8"/>
      <c r="M11" s="548" t="s">
        <v>554</v>
      </c>
      <c r="N11" s="420"/>
      <c r="P11" s="553" t="s">
        <v>4</v>
      </c>
      <c r="S11" s="370"/>
      <c r="T11" s="363"/>
    </row>
    <row r="12" spans="1:20" ht="10.5" customHeight="1">
      <c r="A12" s="472"/>
      <c r="B12" s="469"/>
      <c r="C12" s="469"/>
      <c r="D12" s="469"/>
      <c r="E12" s="479" t="str">
        <f t="shared" si="0"/>
        <v>Щёлково</v>
      </c>
      <c r="F12" s="473"/>
      <c r="G12" s="365"/>
      <c r="H12" s="758"/>
      <c r="I12" s="758"/>
      <c r="J12" s="759"/>
      <c r="K12" s="8"/>
      <c r="L12" s="421" t="s">
        <v>508</v>
      </c>
      <c r="M12" s="352" t="s">
        <v>3</v>
      </c>
      <c r="N12" s="551">
        <f>VLOOKUP($B$27,$L$19:$Q$27,3)</f>
        <v>490</v>
      </c>
      <c r="P12" s="552">
        <f>VLOOKUP(B27,$L$19:$Q$27,5)</f>
        <v>6</v>
      </c>
      <c r="Q12" s="550" t="str">
        <f>VLOOKUP(B27,$L$19:$Q$27,6)</f>
        <v>учителя-логопеда, логопеда*</v>
      </c>
      <c r="S12" s="370"/>
      <c r="T12" s="363"/>
    </row>
    <row r="13" spans="1:20" ht="12.75" customHeight="1">
      <c r="A13" s="472"/>
      <c r="B13" s="469"/>
      <c r="C13" s="469"/>
      <c r="D13" s="469"/>
      <c r="E13" s="479" t="str">
        <f t="shared" si="0"/>
        <v>Ивантеевка</v>
      </c>
      <c r="F13" s="473"/>
      <c r="G13" s="365"/>
      <c r="H13" s="692" t="s">
        <v>746</v>
      </c>
      <c r="I13" s="692"/>
      <c r="J13" s="693"/>
      <c r="K13" s="8"/>
      <c r="M13" s="353" t="s">
        <v>2</v>
      </c>
      <c r="N13" s="551">
        <f>VLOOKUP($B$27,$L$19:$Q$27,2)</f>
        <v>260</v>
      </c>
      <c r="P13" s="549" t="str">
        <f>VLOOKUP(B27,$L$19:$Q$27,4)</f>
        <v>ДОО/ОО</v>
      </c>
      <c r="S13" s="370"/>
      <c r="T13" s="363"/>
    </row>
    <row r="14" spans="1:20" ht="10.5" customHeight="1">
      <c r="A14" s="474"/>
      <c r="B14" s="365"/>
      <c r="C14" s="469"/>
      <c r="D14" s="469"/>
      <c r="E14" s="479" t="str">
        <f t="shared" si="0"/>
        <v>Красноармейск</v>
      </c>
      <c r="F14" s="473"/>
      <c r="G14" s="365"/>
      <c r="H14" s="692"/>
      <c r="I14" s="692"/>
      <c r="J14" s="693"/>
      <c r="K14" s="8"/>
      <c r="L14" s="13"/>
      <c r="N14" s="15"/>
      <c r="O14" s="15"/>
      <c r="P14" s="16"/>
      <c r="S14" s="370"/>
      <c r="T14" s="363"/>
    </row>
    <row r="15" spans="1:20" ht="10.5" customHeight="1">
      <c r="A15" s="472"/>
      <c r="B15" s="365"/>
      <c r="C15" s="469"/>
      <c r="D15" s="469"/>
      <c r="E15" s="479" t="str">
        <f t="shared" si="0"/>
        <v> </v>
      </c>
      <c r="F15" s="473"/>
      <c r="G15" s="365"/>
      <c r="H15" s="692"/>
      <c r="I15" s="692"/>
      <c r="J15" s="693"/>
      <c r="K15" s="8"/>
      <c r="L15" s="13"/>
      <c r="N15" s="14"/>
      <c r="O15" s="14"/>
      <c r="P15" s="16"/>
      <c r="S15" s="370"/>
      <c r="T15" s="363"/>
    </row>
    <row r="16" spans="1:20" ht="10.5" customHeight="1">
      <c r="A16" s="472"/>
      <c r="B16" s="365"/>
      <c r="C16" s="365"/>
      <c r="D16" s="365"/>
      <c r="E16" s="480" t="str">
        <f t="shared" si="0"/>
        <v> </v>
      </c>
      <c r="F16" s="475"/>
      <c r="G16" s="365"/>
      <c r="H16" s="692"/>
      <c r="I16" s="692"/>
      <c r="J16" s="693"/>
      <c r="K16" s="17"/>
      <c r="L16" s="536"/>
      <c r="M16" s="535"/>
      <c r="N16" s="521"/>
      <c r="O16" s="517"/>
      <c r="P16" s="537"/>
      <c r="S16" s="370"/>
      <c r="T16" s="363"/>
    </row>
    <row r="17" spans="1:20" ht="3.75" customHeight="1">
      <c r="A17" s="472"/>
      <c r="B17" s="365"/>
      <c r="C17" s="365"/>
      <c r="D17" s="365"/>
      <c r="E17" s="476"/>
      <c r="F17" s="365"/>
      <c r="G17" s="365"/>
      <c r="H17" s="692"/>
      <c r="I17" s="692"/>
      <c r="J17" s="693"/>
      <c r="K17" s="581" t="s">
        <v>566</v>
      </c>
      <c r="L17" s="505"/>
      <c r="M17" s="230" t="s">
        <v>2</v>
      </c>
      <c r="N17" s="519" t="s">
        <v>3</v>
      </c>
      <c r="O17" s="386"/>
      <c r="P17" s="508"/>
      <c r="Q17" s="386"/>
      <c r="R17" s="158"/>
      <c r="S17" s="509"/>
      <c r="T17" s="363"/>
    </row>
    <row r="18" spans="1:20" ht="37.5" customHeight="1">
      <c r="A18" s="390"/>
      <c r="B18" s="18"/>
      <c r="C18" s="18"/>
      <c r="D18" s="18"/>
      <c r="E18" s="391"/>
      <c r="F18" s="18"/>
      <c r="G18" s="697" t="s">
        <v>679</v>
      </c>
      <c r="H18" s="697"/>
      <c r="I18" s="697"/>
      <c r="J18" s="698"/>
      <c r="K18" s="579"/>
      <c r="L18" s="11"/>
      <c r="M18" s="310"/>
      <c r="N18" s="520"/>
      <c r="O18" s="158"/>
      <c r="P18" s="510"/>
      <c r="Q18" s="158"/>
      <c r="R18" s="158"/>
      <c r="S18" s="509"/>
      <c r="T18" s="363"/>
    </row>
    <row r="19" spans="1:21" ht="24" customHeight="1" hidden="1">
      <c r="A19" s="673" t="s">
        <v>736</v>
      </c>
      <c r="B19" s="674"/>
      <c r="C19" s="674"/>
      <c r="D19" s="674"/>
      <c r="E19" s="674"/>
      <c r="F19" s="674"/>
      <c r="G19" s="674"/>
      <c r="H19" s="674"/>
      <c r="I19" s="674"/>
      <c r="J19" s="385"/>
      <c r="K19" s="603" t="str">
        <f>IF(COUNTIF(C21:C23,"да"),"да","нет")</f>
        <v>нет</v>
      </c>
      <c r="L19" s="513" t="s">
        <v>488</v>
      </c>
      <c r="M19" s="514">
        <v>210</v>
      </c>
      <c r="N19" s="513">
        <v>450</v>
      </c>
      <c r="O19" s="515" t="s">
        <v>547</v>
      </c>
      <c r="P19" s="516">
        <v>1</v>
      </c>
      <c r="Q19" s="518" t="s">
        <v>541</v>
      </c>
      <c r="R19" s="158"/>
      <c r="S19" s="509"/>
      <c r="T19" s="363"/>
      <c r="U19" s="501" t="s">
        <v>534</v>
      </c>
    </row>
    <row r="20" spans="1:21" ht="21.75" customHeight="1" hidden="1">
      <c r="A20" s="381" t="s">
        <v>472</v>
      </c>
      <c r="B20" s="21"/>
      <c r="C20" s="21"/>
      <c r="D20" s="21"/>
      <c r="E20" s="21"/>
      <c r="F20" s="21"/>
      <c r="G20" s="22"/>
      <c r="H20" s="12"/>
      <c r="I20" s="12"/>
      <c r="J20" s="20"/>
      <c r="K20" s="580" t="str">
        <f>IF(K19="да",L20,L19)</f>
        <v> без учета мониторингов системы образования</v>
      </c>
      <c r="L20" s="522" t="s">
        <v>489</v>
      </c>
      <c r="M20" s="523">
        <v>270</v>
      </c>
      <c r="N20" s="522">
        <v>510</v>
      </c>
      <c r="O20" s="524" t="s">
        <v>546</v>
      </c>
      <c r="P20" s="525">
        <v>1</v>
      </c>
      <c r="Q20" s="593" t="s">
        <v>660</v>
      </c>
      <c r="R20" s="158"/>
      <c r="S20" s="509"/>
      <c r="T20" s="363"/>
      <c r="U20" s="500" t="s">
        <v>25</v>
      </c>
    </row>
    <row r="21" spans="1:21" ht="15" hidden="1">
      <c r="A21" s="19"/>
      <c r="B21" s="382" t="s">
        <v>470</v>
      </c>
      <c r="C21" s="477" t="s">
        <v>25</v>
      </c>
      <c r="D21" s="12"/>
      <c r="E21" s="12"/>
      <c r="F21" s="12"/>
      <c r="G21" s="12"/>
      <c r="H21" s="12"/>
      <c r="I21" s="12"/>
      <c r="J21" s="20"/>
      <c r="K21" s="507"/>
      <c r="L21" s="526" t="s">
        <v>536</v>
      </c>
      <c r="M21" s="527">
        <v>210</v>
      </c>
      <c r="N21" s="528">
        <v>400</v>
      </c>
      <c r="O21" s="529" t="s">
        <v>537</v>
      </c>
      <c r="P21" s="530">
        <v>2</v>
      </c>
      <c r="Q21" s="531" t="s">
        <v>540</v>
      </c>
      <c r="R21" s="158"/>
      <c r="S21" s="509"/>
      <c r="T21" s="363"/>
      <c r="U21" s="500" t="s">
        <v>564</v>
      </c>
    </row>
    <row r="22" spans="1:21" ht="15" hidden="1">
      <c r="A22" s="19"/>
      <c r="B22" s="383" t="s">
        <v>471</v>
      </c>
      <c r="C22" s="477" t="s">
        <v>25</v>
      </c>
      <c r="D22" s="12"/>
      <c r="E22" s="12"/>
      <c r="F22" s="12"/>
      <c r="G22" s="12"/>
      <c r="H22" s="12"/>
      <c r="I22" s="12"/>
      <c r="J22" s="20"/>
      <c r="K22" s="507"/>
      <c r="L22" s="526" t="s">
        <v>538</v>
      </c>
      <c r="M22" s="527">
        <v>230</v>
      </c>
      <c r="N22" s="528">
        <v>420</v>
      </c>
      <c r="O22" s="529" t="s">
        <v>490</v>
      </c>
      <c r="P22" s="530">
        <v>3</v>
      </c>
      <c r="Q22" s="531" t="s">
        <v>539</v>
      </c>
      <c r="R22" s="158"/>
      <c r="S22" s="509"/>
      <c r="T22" s="363"/>
      <c r="U22" s="500" t="s">
        <v>535</v>
      </c>
    </row>
    <row r="23" spans="1:21" ht="15" hidden="1">
      <c r="A23" s="19"/>
      <c r="B23" s="383" t="s">
        <v>354</v>
      </c>
      <c r="C23" s="477" t="s">
        <v>25</v>
      </c>
      <c r="D23" s="12"/>
      <c r="E23" s="717" t="s">
        <v>564</v>
      </c>
      <c r="F23" s="717"/>
      <c r="G23" s="717"/>
      <c r="H23" s="717"/>
      <c r="I23" s="717"/>
      <c r="J23" s="718"/>
      <c r="K23" s="507"/>
      <c r="L23" s="526" t="s">
        <v>127</v>
      </c>
      <c r="M23" s="527">
        <v>210</v>
      </c>
      <c r="N23" s="528">
        <v>440</v>
      </c>
      <c r="O23" s="532" t="s">
        <v>545</v>
      </c>
      <c r="P23" s="530">
        <v>5</v>
      </c>
      <c r="Q23" s="533"/>
      <c r="R23" s="158"/>
      <c r="S23" s="509"/>
      <c r="T23" s="363"/>
      <c r="U23" s="500" t="s">
        <v>535</v>
      </c>
    </row>
    <row r="24" spans="1:20" ht="15" customHeight="1" hidden="1">
      <c r="A24" s="19"/>
      <c r="B24" s="12"/>
      <c r="C24" s="51"/>
      <c r="D24" s="12"/>
      <c r="E24" s="12"/>
      <c r="F24" s="12"/>
      <c r="G24" s="12"/>
      <c r="H24" s="504">
        <f>IF(C23="да","укажите наименование др.мониторингов","")</f>
      </c>
      <c r="I24" s="12"/>
      <c r="J24" s="20"/>
      <c r="K24" s="511"/>
      <c r="L24" s="541" t="s">
        <v>133</v>
      </c>
      <c r="M24" s="542">
        <v>260</v>
      </c>
      <c r="N24" s="543">
        <v>490</v>
      </c>
      <c r="O24" s="544" t="s">
        <v>553</v>
      </c>
      <c r="P24" s="545">
        <v>6</v>
      </c>
      <c r="Q24" s="534"/>
      <c r="R24" s="158"/>
      <c r="S24" s="509"/>
      <c r="T24" s="363"/>
    </row>
    <row r="25" spans="1:20" ht="15" hidden="1">
      <c r="A25" s="604" t="s">
        <v>527</v>
      </c>
      <c r="B25" s="668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68"/>
      <c r="D25" s="668"/>
      <c r="E25" s="668"/>
      <c r="F25" s="668"/>
      <c r="G25" s="668"/>
      <c r="H25" s="668"/>
      <c r="I25" s="668"/>
      <c r="J25" s="20"/>
      <c r="K25" s="511"/>
      <c r="L25" s="547" t="s">
        <v>138</v>
      </c>
      <c r="M25" s="527">
        <v>200</v>
      </c>
      <c r="N25" s="528">
        <v>390</v>
      </c>
      <c r="O25" s="532" t="s">
        <v>545</v>
      </c>
      <c r="P25" s="530">
        <v>4</v>
      </c>
      <c r="Q25" s="546" t="s">
        <v>139</v>
      </c>
      <c r="R25" s="158"/>
      <c r="S25" s="509"/>
      <c r="T25" s="363"/>
    </row>
    <row r="26" spans="1:20" ht="12.75" hidden="1">
      <c r="A26" s="19"/>
      <c r="B26" s="12"/>
      <c r="C26" s="12"/>
      <c r="D26" s="12"/>
      <c r="E26" s="12"/>
      <c r="F26" s="12"/>
      <c r="G26" s="12"/>
      <c r="H26" s="12"/>
      <c r="I26" s="12"/>
      <c r="J26" s="484"/>
      <c r="K26" s="511"/>
      <c r="L26" s="541" t="s">
        <v>162</v>
      </c>
      <c r="M26" s="542">
        <v>260</v>
      </c>
      <c r="N26" s="543">
        <v>490</v>
      </c>
      <c r="O26" s="544" t="s">
        <v>545</v>
      </c>
      <c r="P26" s="545">
        <v>6</v>
      </c>
      <c r="Q26" s="546" t="s">
        <v>672</v>
      </c>
      <c r="R26" s="158"/>
      <c r="S26" s="509"/>
      <c r="T26" s="363"/>
    </row>
    <row r="27" spans="1:20" ht="15.75" hidden="1" thickBot="1">
      <c r="A27" s="503" t="s">
        <v>7</v>
      </c>
      <c r="B27" s="691" t="s">
        <v>162</v>
      </c>
      <c r="C27" s="691"/>
      <c r="D27" s="691"/>
      <c r="E27" s="691"/>
      <c r="F27" s="691"/>
      <c r="G27" s="600" t="s">
        <v>673</v>
      </c>
      <c r="H27" s="502"/>
      <c r="I27" s="502"/>
      <c r="J27" s="506" t="s">
        <v>542</v>
      </c>
      <c r="K27" s="511"/>
      <c r="L27" s="559" t="s">
        <v>555</v>
      </c>
      <c r="M27" s="560">
        <v>280</v>
      </c>
      <c r="N27" s="561">
        <v>540</v>
      </c>
      <c r="O27" s="562" t="s">
        <v>548</v>
      </c>
      <c r="P27" s="563">
        <v>7</v>
      </c>
      <c r="Q27" s="564"/>
      <c r="R27" s="158"/>
      <c r="S27" s="509"/>
      <c r="T27" s="363"/>
    </row>
    <row r="28" spans="1:20" ht="6.75" customHeight="1">
      <c r="A28" s="449"/>
      <c r="B28" s="384"/>
      <c r="C28" s="384"/>
      <c r="D28" s="384"/>
      <c r="E28" s="384"/>
      <c r="F28" s="384"/>
      <c r="G28" s="384"/>
      <c r="H28" s="384"/>
      <c r="I28" s="384"/>
      <c r="J28" s="20"/>
      <c r="K28" s="511"/>
      <c r="L28" s="575" t="s">
        <v>557</v>
      </c>
      <c r="M28" s="565">
        <v>340</v>
      </c>
      <c r="N28" s="566">
        <v>600</v>
      </c>
      <c r="O28" s="567" t="s">
        <v>549</v>
      </c>
      <c r="P28" s="568">
        <v>7</v>
      </c>
      <c r="Q28" s="569"/>
      <c r="R28" s="158"/>
      <c r="S28" s="509"/>
      <c r="T28" s="363"/>
    </row>
    <row r="29" spans="1:20" ht="20.25" customHeight="1">
      <c r="A29" s="673" t="s">
        <v>8</v>
      </c>
      <c r="B29" s="674"/>
      <c r="C29" s="674"/>
      <c r="D29" s="674"/>
      <c r="E29" s="674"/>
      <c r="F29" s="674"/>
      <c r="G29" s="674"/>
      <c r="H29" s="674"/>
      <c r="I29" s="674"/>
      <c r="J29" s="605"/>
      <c r="K29" s="68"/>
      <c r="L29" s="570"/>
      <c r="M29" s="571">
        <v>320</v>
      </c>
      <c r="N29" s="572">
        <v>600</v>
      </c>
      <c r="O29" s="573" t="s">
        <v>550</v>
      </c>
      <c r="P29" s="574"/>
      <c r="Q29" s="573" t="s">
        <v>552</v>
      </c>
      <c r="R29" s="158"/>
      <c r="S29" s="509"/>
      <c r="T29" s="363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76" t="s">
        <v>565</v>
      </c>
      <c r="M30" s="571">
        <v>380</v>
      </c>
      <c r="N30" s="572">
        <v>660</v>
      </c>
      <c r="O30" s="573" t="s">
        <v>551</v>
      </c>
      <c r="P30" s="574"/>
      <c r="Q30" s="540"/>
      <c r="R30" s="158"/>
      <c r="S30" s="509"/>
      <c r="T30" s="363"/>
    </row>
    <row r="31" spans="1:20" ht="15">
      <c r="A31" s="694" t="s">
        <v>9</v>
      </c>
      <c r="B31" s="695"/>
      <c r="C31" s="696"/>
      <c r="D31" s="696"/>
      <c r="E31" s="696"/>
      <c r="F31" s="696"/>
      <c r="G31" s="696"/>
      <c r="H31" s="696"/>
      <c r="I31" s="696"/>
      <c r="J31" s="20"/>
      <c r="K31" s="18"/>
      <c r="L31" s="538">
        <f>CLEAN(TRIM(C31))</f>
      </c>
      <c r="M31" s="5"/>
      <c r="N31" s="5"/>
      <c r="Q31" s="158"/>
      <c r="R31" s="158"/>
      <c r="S31" s="509"/>
      <c r="T31" s="363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58"/>
      <c r="R32" s="158"/>
      <c r="S32" s="509"/>
      <c r="T32" s="363"/>
    </row>
    <row r="33" spans="1:20" ht="15">
      <c r="A33" s="694" t="s">
        <v>10</v>
      </c>
      <c r="B33" s="746"/>
      <c r="C33" s="672" t="s">
        <v>372</v>
      </c>
      <c r="D33" s="672"/>
      <c r="E33" s="672"/>
      <c r="F33" s="12"/>
      <c r="G33" s="690"/>
      <c r="H33" s="690"/>
      <c r="I33" s="690"/>
      <c r="J33" s="20"/>
      <c r="L33" s="538" t="str">
        <f>IF(AND(МуницОбр_ОС="",C33&lt;&gt;E4),C33&amp;" "&amp;E4,C33&amp;" "&amp;МуницОбр_ОС)</f>
        <v>городской округ </v>
      </c>
      <c r="M33" s="5"/>
      <c r="N33" s="5"/>
      <c r="Q33" s="158"/>
      <c r="R33" s="158"/>
      <c r="S33" s="509"/>
      <c r="T33" s="363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58"/>
      <c r="R34" s="158"/>
      <c r="S34" s="509"/>
      <c r="T34" s="363"/>
    </row>
    <row r="35" spans="1:20" ht="15">
      <c r="A35" s="28" t="s">
        <v>11</v>
      </c>
      <c r="B35" s="690"/>
      <c r="C35" s="690"/>
      <c r="D35" s="690"/>
      <c r="E35" s="690"/>
      <c r="F35" s="690"/>
      <c r="G35" s="690"/>
      <c r="H35" s="690"/>
      <c r="I35" s="690"/>
      <c r="J35" s="20"/>
      <c r="K35" s="27">
        <f>LEN(B35)</f>
        <v>0</v>
      </c>
      <c r="L35" s="539">
        <f>TRIM(B35)</f>
      </c>
      <c r="O35" s="31"/>
      <c r="Q35" s="158"/>
      <c r="R35" s="158"/>
      <c r="S35" s="509"/>
      <c r="T35" s="363"/>
    </row>
    <row r="36" spans="1:20" ht="15">
      <c r="A36" s="28"/>
      <c r="B36" s="683"/>
      <c r="C36" s="683"/>
      <c r="D36" s="683"/>
      <c r="E36" s="683"/>
      <c r="F36" s="683"/>
      <c r="G36" s="683"/>
      <c r="H36" s="683"/>
      <c r="I36" s="683"/>
      <c r="J36" s="20"/>
      <c r="K36" s="27">
        <f>LEN(B36)</f>
        <v>0</v>
      </c>
      <c r="L36" s="539">
        <f>TRIM(B36)</f>
      </c>
      <c r="P36" s="7"/>
      <c r="S36" s="370"/>
      <c r="T36" s="363"/>
    </row>
    <row r="37" spans="1:20" ht="15" customHeight="1">
      <c r="A37" s="28"/>
      <c r="B37" s="683"/>
      <c r="C37" s="683"/>
      <c r="D37" s="683"/>
      <c r="E37" s="683"/>
      <c r="F37" s="683"/>
      <c r="G37" s="683"/>
      <c r="H37" s="683"/>
      <c r="I37" s="683"/>
      <c r="J37" s="20"/>
      <c r="K37" s="27">
        <f>LEN(B37)</f>
        <v>0</v>
      </c>
      <c r="L37" s="539">
        <f>TRIM(B37)</f>
      </c>
      <c r="N37" s="4" t="s">
        <v>669</v>
      </c>
      <c r="O37" s="31"/>
      <c r="P37" s="7"/>
      <c r="S37" s="370"/>
      <c r="T37" s="363"/>
    </row>
    <row r="38" spans="1:20" ht="3.75" customHeight="1">
      <c r="A38" s="28"/>
      <c r="B38" s="251"/>
      <c r="C38" s="251"/>
      <c r="D38" s="251"/>
      <c r="E38" s="251"/>
      <c r="F38" s="251"/>
      <c r="G38" s="251"/>
      <c r="H38" s="251"/>
      <c r="I38" s="251"/>
      <c r="J38" s="20"/>
      <c r="K38" s="27"/>
      <c r="L38" s="3"/>
      <c r="O38" s="31"/>
      <c r="P38" s="7"/>
      <c r="S38" s="370"/>
      <c r="T38" s="363"/>
    </row>
    <row r="39" spans="1:20" ht="15">
      <c r="A39" s="28" t="s">
        <v>12</v>
      </c>
      <c r="B39" s="667" t="s">
        <v>162</v>
      </c>
      <c r="C39" s="667"/>
      <c r="D39" s="667"/>
      <c r="E39" s="667"/>
      <c r="F39" s="667"/>
      <c r="G39" s="667"/>
      <c r="H39" s="667"/>
      <c r="I39" s="678"/>
      <c r="J39" s="679"/>
      <c r="K39" s="18"/>
      <c r="L39" s="363" t="str">
        <f>LOWER(TRIM(B39))</f>
        <v>учитель-логопед</v>
      </c>
      <c r="M39" s="27">
        <f>LEN(L40)</f>
        <v>22</v>
      </c>
      <c r="N39" s="594" t="s">
        <v>147</v>
      </c>
      <c r="O39" s="31"/>
      <c r="P39" s="7"/>
      <c r="S39" s="370"/>
      <c r="T39" s="363"/>
    </row>
    <row r="40" spans="1:20" ht="15">
      <c r="A40" s="28" t="s">
        <v>181</v>
      </c>
      <c r="B40" s="671" t="s">
        <v>674</v>
      </c>
      <c r="C40" s="671"/>
      <c r="D40" s="671"/>
      <c r="E40" s="671"/>
      <c r="F40" s="671"/>
      <c r="G40" s="671"/>
      <c r="H40" s="671"/>
      <c r="I40" s="712"/>
      <c r="J40" s="713"/>
      <c r="K40" s="66" t="str">
        <f>ЭЗ!AC35</f>
        <v>.</v>
      </c>
      <c r="L40" s="539" t="str">
        <f>TRIM(B40)</f>
        <v>дошкольное образование</v>
      </c>
      <c r="M40" s="27">
        <f>IF(B39="",0,1)</f>
        <v>1</v>
      </c>
      <c r="O40" s="31"/>
      <c r="P40" s="7"/>
      <c r="S40" s="370"/>
      <c r="T40" s="363"/>
    </row>
    <row r="41" spans="1:20" ht="18.75" customHeight="1">
      <c r="A41" s="19"/>
      <c r="B41" s="714" t="s">
        <v>680</v>
      </c>
      <c r="C41" s="714"/>
      <c r="D41" s="714"/>
      <c r="E41" s="714"/>
      <c r="F41" s="714"/>
      <c r="G41" s="714"/>
      <c r="H41" s="714"/>
      <c r="I41" s="12"/>
      <c r="J41" s="20"/>
      <c r="K41" s="18"/>
      <c r="L41" s="5"/>
      <c r="S41" s="370"/>
      <c r="T41" s="363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70"/>
      <c r="T42" s="363"/>
    </row>
    <row r="43" spans="1:20" ht="0.75" customHeight="1">
      <c r="A43" s="33"/>
      <c r="B43" s="34"/>
      <c r="C43" s="675"/>
      <c r="D43" s="675"/>
      <c r="E43" s="675"/>
      <c r="F43" s="675"/>
      <c r="G43" s="675"/>
      <c r="H43" s="675"/>
      <c r="I43" s="675"/>
      <c r="J43" s="20"/>
      <c r="K43" s="18"/>
      <c r="L43" s="32"/>
      <c r="S43" s="370"/>
      <c r="T43" s="363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70"/>
      <c r="T44" s="363"/>
    </row>
    <row r="45" spans="1:20" ht="15">
      <c r="A45" s="676" t="s">
        <v>14</v>
      </c>
      <c r="B45" s="677"/>
      <c r="C45" s="677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77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70"/>
      <c r="T45" s="363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77"/>
      <c r="M46" s="43"/>
      <c r="S46" s="370"/>
      <c r="T46" s="363"/>
    </row>
    <row r="47" spans="1:20" ht="15">
      <c r="A47" s="676" t="s">
        <v>15</v>
      </c>
      <c r="B47" s="677"/>
      <c r="C47" s="677"/>
      <c r="D47" s="202" t="s">
        <v>25</v>
      </c>
      <c r="E47" s="450">
        <f>IF(AND(катег_ОС="нет",датаПрисв&lt;&gt;0),"Внимание!_НЕТ_","")</f>
      </c>
      <c r="F47" s="451">
        <f>IF(катег_ОС="нет","","дата присвоения")</f>
      </c>
      <c r="G47" s="140"/>
      <c r="H47" s="140"/>
      <c r="I47" s="375"/>
      <c r="J47" s="20"/>
      <c r="K47" s="446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70"/>
      <c r="T47" s="363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47"/>
      <c r="L48" s="52"/>
      <c r="M48" s="204" t="s">
        <v>278</v>
      </c>
      <c r="N48" s="204" t="s">
        <v>279</v>
      </c>
      <c r="S48" s="370"/>
      <c r="T48" s="363"/>
    </row>
    <row r="49" spans="1:20" ht="15">
      <c r="A49" s="48" t="s">
        <v>18</v>
      </c>
      <c r="B49" s="49"/>
      <c r="C49" s="49"/>
      <c r="D49" s="201" t="s">
        <v>2</v>
      </c>
      <c r="E49" s="376">
        <f>IF(F49="","","примеч.")</f>
      </c>
      <c r="F49" s="689"/>
      <c r="G49" s="689"/>
      <c r="H49" s="689"/>
      <c r="I49" s="377"/>
      <c r="J49" s="378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70"/>
      <c r="T49" s="363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70"/>
      <c r="T50" s="363"/>
    </row>
    <row r="51" spans="1:57" ht="15">
      <c r="A51" s="58" t="s">
        <v>19</v>
      </c>
      <c r="B51" s="667" t="s">
        <v>20</v>
      </c>
      <c r="C51" s="667"/>
      <c r="D51" s="667"/>
      <c r="E51" s="667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70"/>
      <c r="T51" s="363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70"/>
      <c r="T52" s="36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70"/>
      <c r="T53" s="363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22" t="str">
        <f>B51</f>
        <v>высшее</v>
      </c>
      <c r="B54" s="669"/>
      <c r="C54" s="669"/>
      <c r="D54" s="669"/>
      <c r="E54" s="669"/>
      <c r="F54" s="669"/>
      <c r="G54" s="669"/>
      <c r="H54" s="669"/>
      <c r="I54" s="669"/>
      <c r="J54" s="670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70"/>
      <c r="T54" s="363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23"/>
      <c r="B55" s="669"/>
      <c r="C55" s="669"/>
      <c r="D55" s="669"/>
      <c r="E55" s="669"/>
      <c r="F55" s="669"/>
      <c r="G55" s="669"/>
      <c r="H55" s="669"/>
      <c r="I55" s="669"/>
      <c r="J55" s="670"/>
      <c r="K55" s="5"/>
      <c r="L55" s="61"/>
      <c r="M55" s="61"/>
      <c r="N55" s="61"/>
      <c r="O55" s="61"/>
      <c r="P55" s="61"/>
      <c r="Q55" s="61"/>
      <c r="R55" s="61"/>
      <c r="S55" s="370"/>
      <c r="T55" s="363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61" t="s">
        <v>24</v>
      </c>
      <c r="C56" s="661"/>
      <c r="D56" s="661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70"/>
      <c r="T56" s="36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70"/>
      <c r="T57" s="363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62"/>
      <c r="B58" s="669"/>
      <c r="C58" s="669"/>
      <c r="D58" s="669"/>
      <c r="E58" s="669"/>
      <c r="F58" s="669"/>
      <c r="G58" s="669"/>
      <c r="H58" s="669"/>
      <c r="I58" s="669"/>
      <c r="J58" s="670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70"/>
      <c r="T58" s="36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63"/>
      <c r="B59" s="669"/>
      <c r="C59" s="669"/>
      <c r="D59" s="669"/>
      <c r="E59" s="669"/>
      <c r="F59" s="669"/>
      <c r="G59" s="669"/>
      <c r="H59" s="669"/>
      <c r="I59" s="669"/>
      <c r="J59" s="670"/>
      <c r="K59" s="67"/>
      <c r="L59" s="67"/>
      <c r="M59" s="67"/>
      <c r="N59" s="67"/>
      <c r="O59" s="67"/>
      <c r="P59" s="67"/>
      <c r="Q59" s="67"/>
      <c r="R59" s="67"/>
      <c r="S59" s="370"/>
      <c r="T59" s="363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61" t="s">
        <v>24</v>
      </c>
      <c r="C60" s="661"/>
      <c r="D60" s="661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70"/>
      <c r="T60" s="36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70"/>
      <c r="T61" s="363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62"/>
      <c r="B62" s="669"/>
      <c r="C62" s="669"/>
      <c r="D62" s="669"/>
      <c r="E62" s="669"/>
      <c r="F62" s="669"/>
      <c r="G62" s="669"/>
      <c r="H62" s="669"/>
      <c r="I62" s="669"/>
      <c r="J62" s="670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70"/>
      <c r="T62" s="363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63"/>
      <c r="B63" s="669"/>
      <c r="C63" s="669"/>
      <c r="D63" s="669"/>
      <c r="E63" s="669"/>
      <c r="F63" s="669"/>
      <c r="G63" s="669"/>
      <c r="H63" s="669"/>
      <c r="I63" s="669"/>
      <c r="J63" s="670"/>
      <c r="K63" s="5"/>
      <c r="L63" s="61"/>
      <c r="M63" s="61"/>
      <c r="N63" s="61"/>
      <c r="O63" s="61"/>
      <c r="P63" s="61"/>
      <c r="Q63" s="61"/>
      <c r="R63" s="61"/>
      <c r="S63" s="370"/>
      <c r="T63" s="363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61" t="s">
        <v>24</v>
      </c>
      <c r="C64" s="661"/>
      <c r="D64" s="661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70"/>
      <c r="T64" s="363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70"/>
      <c r="T65" s="363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0"/>
      <c r="T66" s="363"/>
    </row>
    <row r="67" spans="1:20" ht="33" customHeight="1">
      <c r="A67" s="655" t="s">
        <v>407</v>
      </c>
      <c r="B67" s="666"/>
      <c r="C67" s="666"/>
      <c r="D67" s="666"/>
      <c r="E67" s="666"/>
      <c r="F67" s="666"/>
      <c r="G67" s="666"/>
      <c r="H67" s="666"/>
      <c r="I67" s="666"/>
      <c r="J67" s="24"/>
      <c r="L67" s="315"/>
      <c r="M67" s="69"/>
      <c r="N67" s="69"/>
      <c r="O67" s="69"/>
      <c r="P67" s="69"/>
      <c r="Q67" s="69"/>
      <c r="R67" s="69"/>
      <c r="S67" s="370"/>
      <c r="T67" s="363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70"/>
      <c r="T68" s="363"/>
    </row>
    <row r="69" spans="1:57" ht="16.5" customHeight="1">
      <c r="A69" s="397" t="s">
        <v>737</v>
      </c>
      <c r="B69" s="12"/>
      <c r="C69" s="12"/>
      <c r="D69" s="72"/>
      <c r="E69" s="73"/>
      <c r="F69" s="74"/>
      <c r="G69" s="74"/>
      <c r="H69" s="74"/>
      <c r="I69" s="12"/>
      <c r="J69" s="20"/>
      <c r="K69" s="586" t="s">
        <v>592</v>
      </c>
      <c r="L69" s="397" t="s">
        <v>591</v>
      </c>
      <c r="M69" s="67"/>
      <c r="N69" s="67"/>
      <c r="O69" s="67"/>
      <c r="P69" s="67"/>
      <c r="Q69" s="67"/>
      <c r="R69" s="67"/>
      <c r="S69" s="370"/>
      <c r="T69" s="363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7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70"/>
      <c r="T70" s="363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58" t="s">
        <v>25</v>
      </c>
      <c r="B71" s="659"/>
      <c r="C71" s="659"/>
      <c r="D71" s="75"/>
      <c r="E71" s="343" t="s">
        <v>24</v>
      </c>
      <c r="F71" s="12"/>
      <c r="G71" s="76"/>
      <c r="H71" s="41">
        <f>IF(A71="нет","",IF(L71=1,"курс","г."))</f>
      </c>
      <c r="I71" s="12"/>
      <c r="J71" s="452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70"/>
      <c r="T71" s="36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52"/>
      <c r="K72" s="5"/>
      <c r="N72" s="5"/>
      <c r="S72" s="370"/>
      <c r="T72" s="363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69"/>
      <c r="C73" s="669"/>
      <c r="D73" s="669"/>
      <c r="E73" s="669"/>
      <c r="F73" s="669"/>
      <c r="G73" s="669"/>
      <c r="H73" s="669"/>
      <c r="I73" s="669"/>
      <c r="J73" s="670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70"/>
      <c r="T73" s="363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69"/>
      <c r="C74" s="669"/>
      <c r="D74" s="669"/>
      <c r="E74" s="669"/>
      <c r="F74" s="669"/>
      <c r="G74" s="669"/>
      <c r="H74" s="669"/>
      <c r="I74" s="669"/>
      <c r="J74" s="670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70"/>
      <c r="T74" s="36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69"/>
      <c r="C75" s="669"/>
      <c r="D75" s="669"/>
      <c r="E75" s="669"/>
      <c r="F75" s="669"/>
      <c r="G75" s="669"/>
      <c r="H75" s="669"/>
      <c r="I75" s="669"/>
      <c r="J75" s="670"/>
      <c r="K75" s="83"/>
      <c r="L75" s="53" t="s">
        <v>29</v>
      </c>
      <c r="N75" s="81" t="s">
        <v>25</v>
      </c>
      <c r="O75" s="69"/>
      <c r="P75" s="69"/>
      <c r="R75" s="69"/>
      <c r="S75" s="370"/>
      <c r="T75" s="363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7" t="s">
        <v>30</v>
      </c>
      <c r="M76" s="27"/>
      <c r="N76" s="81" t="s">
        <v>32</v>
      </c>
      <c r="O76" s="69"/>
      <c r="P76" s="69"/>
      <c r="R76" s="69"/>
      <c r="S76" s="370"/>
      <c r="T76" s="363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70"/>
      <c r="T77" s="363"/>
    </row>
    <row r="78" spans="1:20" ht="15">
      <c r="A78" s="699" t="s">
        <v>27</v>
      </c>
      <c r="B78" s="700"/>
      <c r="C78" s="700"/>
      <c r="D78" s="700"/>
      <c r="E78" s="700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70"/>
      <c r="T78" s="363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53"/>
      <c r="S79" s="370"/>
      <c r="T79" s="363"/>
    </row>
    <row r="80" spans="1:20" ht="15">
      <c r="A80" s="28" t="s">
        <v>35</v>
      </c>
      <c r="B80" s="29"/>
      <c r="C80" s="29"/>
      <c r="D80" s="29"/>
      <c r="E80" s="29"/>
      <c r="F80" s="12"/>
      <c r="G80" s="726" t="s">
        <v>25</v>
      </c>
      <c r="H80" s="726"/>
      <c r="I80" s="29"/>
      <c r="J80" s="453"/>
      <c r="S80" s="370"/>
      <c r="T80" s="363"/>
    </row>
    <row r="81" spans="1:20" ht="15" customHeight="1">
      <c r="A81" s="727" t="s">
        <v>681</v>
      </c>
      <c r="B81" s="728"/>
      <c r="C81" s="728"/>
      <c r="D81" s="728"/>
      <c r="E81" s="728"/>
      <c r="F81" s="728"/>
      <c r="G81" s="726" t="s">
        <v>25</v>
      </c>
      <c r="H81" s="726"/>
      <c r="I81" s="29"/>
      <c r="J81" s="453"/>
      <c r="S81" s="370"/>
      <c r="T81" s="363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53"/>
      <c r="S82" s="370"/>
      <c r="T82" s="363"/>
    </row>
    <row r="83" spans="1:20" ht="15">
      <c r="A83" s="28" t="s">
        <v>36</v>
      </c>
      <c r="B83" s="29"/>
      <c r="C83" s="29"/>
      <c r="D83" s="29"/>
      <c r="E83" s="29"/>
      <c r="F83" s="12"/>
      <c r="G83" s="726" t="s">
        <v>25</v>
      </c>
      <c r="H83" s="726"/>
      <c r="I83" s="97"/>
      <c r="J83" s="98"/>
      <c r="M83" s="27"/>
      <c r="N83" s="3"/>
      <c r="O83" s="69"/>
      <c r="P83" s="69"/>
      <c r="Q83" s="69"/>
      <c r="R83" s="69"/>
      <c r="S83" s="370"/>
      <c r="T83" s="363"/>
    </row>
    <row r="84" spans="1:20" ht="15">
      <c r="A84" s="28" t="s">
        <v>37</v>
      </c>
      <c r="B84" s="29"/>
      <c r="C84" s="29"/>
      <c r="D84" s="29"/>
      <c r="E84" s="29"/>
      <c r="F84" s="12"/>
      <c r="G84" s="726" t="s">
        <v>25</v>
      </c>
      <c r="H84" s="726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70"/>
      <c r="T84" s="363"/>
    </row>
    <row r="85" spans="1:20" ht="15" hidden="1">
      <c r="A85" s="398"/>
      <c r="B85" s="454" t="s">
        <v>484</v>
      </c>
      <c r="C85" s="12"/>
      <c r="D85" s="455" t="s">
        <v>485</v>
      </c>
      <c r="E85" s="29"/>
      <c r="F85" s="29"/>
      <c r="G85" s="399" t="str">
        <f>ЭЗ!Y62</f>
        <v>нет</v>
      </c>
      <c r="H85" s="29"/>
      <c r="I85" s="456" t="s">
        <v>491</v>
      </c>
      <c r="J85" s="401"/>
      <c r="M85" s="27"/>
      <c r="N85" s="100"/>
      <c r="O85" s="69"/>
      <c r="P85" s="69"/>
      <c r="Q85" s="69"/>
      <c r="R85" s="69"/>
      <c r="S85" s="370"/>
      <c r="T85" s="363"/>
    </row>
    <row r="86" spans="1:20" ht="15" hidden="1">
      <c r="A86" s="398"/>
      <c r="B86" s="12"/>
      <c r="C86" s="12"/>
      <c r="D86" s="457" t="s">
        <v>486</v>
      </c>
      <c r="E86" s="51"/>
      <c r="F86" s="50"/>
      <c r="G86" s="399" t="str">
        <f>IF(AND(A71&lt;&gt;"нет",K73&lt;&gt;0),"да","нет")</f>
        <v>нет</v>
      </c>
      <c r="H86" s="12"/>
      <c r="I86" s="458" t="s">
        <v>492</v>
      </c>
      <c r="J86" s="401"/>
      <c r="M86" s="27"/>
      <c r="N86" s="100"/>
      <c r="O86" s="69"/>
      <c r="P86" s="69"/>
      <c r="Q86" s="69"/>
      <c r="R86" s="69"/>
      <c r="S86" s="370"/>
      <c r="T86" s="363"/>
    </row>
    <row r="87" spans="1:20" ht="25.5" hidden="1">
      <c r="A87" s="459"/>
      <c r="B87" s="12"/>
      <c r="C87" s="12"/>
      <c r="D87" s="460" t="s">
        <v>487</v>
      </c>
      <c r="E87" s="425"/>
      <c r="F87" s="72"/>
      <c r="G87" s="400" t="str">
        <f>IF(ЭЗ!Y442&gt;0,"да","нет")</f>
        <v>нет</v>
      </c>
      <c r="H87" s="371"/>
      <c r="I87" s="461" t="s">
        <v>465</v>
      </c>
      <c r="J87" s="402"/>
      <c r="K87" s="403" t="s">
        <v>493</v>
      </c>
      <c r="L87" s="404" t="s">
        <v>494</v>
      </c>
      <c r="M87" s="27"/>
      <c r="N87" s="11"/>
      <c r="O87" s="12"/>
      <c r="S87" s="370"/>
      <c r="T87" s="363"/>
    </row>
    <row r="88" spans="1:20" ht="18" hidden="1">
      <c r="A88" s="729" t="str">
        <f>IF(вывод1="да",_72ч,"")</f>
        <v>В течение одного года пройти обучение по программе повышения квалификации. 
</v>
      </c>
      <c r="B88" s="730"/>
      <c r="C88" s="730"/>
      <c r="D88" s="730"/>
      <c r="E88" s="730"/>
      <c r="F88" s="730"/>
      <c r="G88" s="730"/>
      <c r="H88" s="730"/>
      <c r="I88" s="730"/>
      <c r="J88" s="731"/>
      <c r="K88" s="448" t="str">
        <f>IF(COUNTIF(G78:H87,"да"),"нет","да")</f>
        <v>да</v>
      </c>
      <c r="L88" s="405" t="s">
        <v>495</v>
      </c>
      <c r="M88" s="27"/>
      <c r="N88" s="11"/>
      <c r="O88" s="12"/>
      <c r="S88" s="370"/>
      <c r="T88" s="363"/>
    </row>
    <row r="89" spans="1:20" ht="12.75" hidden="1">
      <c r="A89" s="729"/>
      <c r="B89" s="730"/>
      <c r="C89" s="730"/>
      <c r="D89" s="730"/>
      <c r="E89" s="730"/>
      <c r="F89" s="730"/>
      <c r="G89" s="730"/>
      <c r="H89" s="730"/>
      <c r="I89" s="730"/>
      <c r="J89" s="731"/>
      <c r="K89" s="103"/>
      <c r="M89" s="27"/>
      <c r="N89" s="11"/>
      <c r="O89" s="12"/>
      <c r="S89" s="370"/>
      <c r="T89" s="363"/>
    </row>
    <row r="90" spans="1:20" ht="6" customHeight="1">
      <c r="A90" s="462"/>
      <c r="B90" s="463"/>
      <c r="C90" s="463"/>
      <c r="D90" s="664"/>
      <c r="E90" s="664"/>
      <c r="F90" s="664"/>
      <c r="G90" s="664"/>
      <c r="H90" s="664"/>
      <c r="I90" s="664"/>
      <c r="J90" s="665"/>
      <c r="L90" s="5"/>
      <c r="M90" s="5"/>
      <c r="N90" s="104"/>
      <c r="O90" s="18"/>
      <c r="P90" s="57"/>
      <c r="Q90" s="57"/>
      <c r="R90" s="69"/>
      <c r="S90" s="370"/>
      <c r="T90" s="363"/>
    </row>
    <row r="91" spans="1:20" ht="20.25" customHeight="1">
      <c r="A91" s="724" t="s">
        <v>40</v>
      </c>
      <c r="B91" s="725"/>
      <c r="C91" s="725"/>
      <c r="D91" s="725"/>
      <c r="E91" s="725"/>
      <c r="F91" s="725"/>
      <c r="G91" s="725"/>
      <c r="H91" s="725"/>
      <c r="I91" s="725"/>
      <c r="J91" s="105"/>
      <c r="K91" s="106" t="s">
        <v>41</v>
      </c>
      <c r="M91" s="27"/>
      <c r="N91" s="104"/>
      <c r="O91" s="18"/>
      <c r="P91" s="57"/>
      <c r="Q91" s="57"/>
      <c r="R91" s="57"/>
      <c r="S91" s="370"/>
      <c r="T91" s="363"/>
    </row>
    <row r="92" spans="1:20" s="57" customFormat="1" ht="4.5" customHeight="1">
      <c r="A92" s="366"/>
      <c r="B92" s="367"/>
      <c r="C92" s="367"/>
      <c r="D92" s="367"/>
      <c r="E92" s="367"/>
      <c r="F92" s="367"/>
      <c r="G92" s="367"/>
      <c r="H92" s="367"/>
      <c r="I92" s="367"/>
      <c r="J92" s="368"/>
      <c r="K92" s="369"/>
      <c r="L92" s="113"/>
      <c r="M92" s="208"/>
      <c r="N92" s="104"/>
      <c r="O92" s="18"/>
      <c r="S92" s="370"/>
      <c r="T92" s="363"/>
    </row>
    <row r="93" spans="1:20" ht="9.75" customHeight="1">
      <c r="A93" s="732" t="str">
        <f>L172</f>
        <v>Наличие/получение  высшего профессионального образования в области дефектологии</v>
      </c>
      <c r="B93" s="733"/>
      <c r="C93" s="733"/>
      <c r="D93" s="733"/>
      <c r="E93" s="733"/>
      <c r="F93" s="733"/>
      <c r="G93" s="733"/>
      <c r="H93" s="733"/>
      <c r="I93" s="12"/>
      <c r="J93" s="20"/>
      <c r="K93" s="107"/>
      <c r="N93" s="11"/>
      <c r="O93" s="12"/>
      <c r="S93" s="370"/>
      <c r="T93" s="363"/>
    </row>
    <row r="94" spans="1:20" ht="15.75">
      <c r="A94" s="732"/>
      <c r="B94" s="733"/>
      <c r="C94" s="733"/>
      <c r="D94" s="733"/>
      <c r="E94" s="733"/>
      <c r="F94" s="733"/>
      <c r="G94" s="733"/>
      <c r="H94" s="733"/>
      <c r="I94" s="23" t="s">
        <v>25</v>
      </c>
      <c r="J94" s="645" t="str">
        <f>рек2</f>
        <v>нет</v>
      </c>
      <c r="K94" s="102" t="s">
        <v>43</v>
      </c>
      <c r="M94" s="103"/>
      <c r="S94" s="370"/>
      <c r="T94" s="363"/>
    </row>
    <row r="95" spans="1:20" ht="5.25" customHeight="1">
      <c r="A95" s="732"/>
      <c r="B95" s="733"/>
      <c r="C95" s="733"/>
      <c r="D95" s="733"/>
      <c r="E95" s="733"/>
      <c r="F95" s="733"/>
      <c r="G95" s="733"/>
      <c r="H95" s="733"/>
      <c r="I95" s="108"/>
      <c r="J95" s="71"/>
      <c r="K95" s="103"/>
      <c r="L95" s="597" t="s">
        <v>664</v>
      </c>
      <c r="S95" s="370"/>
      <c r="T95" s="363"/>
    </row>
    <row r="96" spans="1:20" ht="15" customHeight="1" hidden="1">
      <c r="A96" s="727" t="str">
        <f>M172</f>
        <v> ---</v>
      </c>
      <c r="B96" s="728"/>
      <c r="C96" s="728"/>
      <c r="D96" s="728"/>
      <c r="E96" s="728"/>
      <c r="F96" s="728"/>
      <c r="G96" s="728"/>
      <c r="H96" s="728"/>
      <c r="I96" s="12"/>
      <c r="J96" s="20"/>
      <c r="K96" s="103"/>
      <c r="L96" s="422" t="s">
        <v>519</v>
      </c>
      <c r="M96" s="3" t="s">
        <v>509</v>
      </c>
      <c r="N96" s="110" t="str">
        <f>IF(долж_ОС="учитель","учитель","преподаватель")</f>
        <v>преподаватель</v>
      </c>
      <c r="S96" s="370"/>
      <c r="T96" s="363"/>
    </row>
    <row r="97" spans="1:20" ht="15" hidden="1">
      <c r="A97" s="727"/>
      <c r="B97" s="728"/>
      <c r="C97" s="728"/>
      <c r="D97" s="728"/>
      <c r="E97" s="728"/>
      <c r="F97" s="728"/>
      <c r="G97" s="728"/>
      <c r="H97" s="728"/>
      <c r="I97" s="23" t="s">
        <v>25</v>
      </c>
      <c r="J97" s="98"/>
      <c r="K97" s="102" t="s">
        <v>45</v>
      </c>
      <c r="L97" s="423" t="s">
        <v>518</v>
      </c>
      <c r="M97" s="3" t="s">
        <v>662</v>
      </c>
      <c r="N97" s="4" t="s">
        <v>663</v>
      </c>
      <c r="O97" s="5" t="s">
        <v>665</v>
      </c>
      <c r="S97" s="370"/>
      <c r="T97" s="363"/>
    </row>
    <row r="98" spans="1:20" ht="18" hidden="1">
      <c r="A98" s="464" t="s">
        <v>39</v>
      </c>
      <c r="B98" s="407" t="s">
        <v>496</v>
      </c>
      <c r="C98" s="306"/>
      <c r="D98" s="306"/>
      <c r="E98" s="12"/>
      <c r="F98" s="406" t="str">
        <f>HLOOKUP(G98,$L$97:$S$98,2)</f>
        <v>да</v>
      </c>
      <c r="G98" s="415" t="s">
        <v>518</v>
      </c>
      <c r="H98" s="12"/>
      <c r="I98" s="12"/>
      <c r="J98" s="20"/>
      <c r="K98" s="18"/>
      <c r="L98" s="413" t="str">
        <f>IF(AND(J94="нет",рек3="нет"),"да","нет")</f>
        <v>да</v>
      </c>
      <c r="M98" s="413" t="str">
        <f>IF(AND(I94="да",рек3="да"),"нет","да")</f>
        <v>да</v>
      </c>
      <c r="N98" s="413" t="str">
        <f>IF(AND(J94="нет",рек3="нет"),"да","нет")</f>
        <v>да</v>
      </c>
      <c r="O98" s="413" t="str">
        <f>IF(J94="нет","да","нет")</f>
        <v>да</v>
      </c>
      <c r="S98" s="370"/>
      <c r="T98" s="363"/>
    </row>
    <row r="99" spans="1:20" ht="45" hidden="1">
      <c r="A99" s="729" t="str">
        <f>IF(F98="да",_дпо,"")</f>
        <v>Получить  высшее профессиональное образование в области дефектологии</v>
      </c>
      <c r="B99" s="730"/>
      <c r="C99" s="730"/>
      <c r="D99" s="730"/>
      <c r="E99" s="730"/>
      <c r="F99" s="730"/>
      <c r="G99" s="730"/>
      <c r="H99" s="730"/>
      <c r="I99" s="730"/>
      <c r="J99" s="731"/>
      <c r="K99" s="102" t="s">
        <v>46</v>
      </c>
      <c r="L99" s="414" t="s">
        <v>510</v>
      </c>
      <c r="M99" s="414" t="s">
        <v>511</v>
      </c>
      <c r="N99" s="414" t="s">
        <v>510</v>
      </c>
      <c r="S99" s="370"/>
      <c r="T99" s="363"/>
    </row>
    <row r="100" spans="1:20" ht="12.75" hidden="1">
      <c r="A100" s="729">
        <f>IF(рек3="нет",_рек3,"")</f>
      </c>
      <c r="B100" s="730"/>
      <c r="C100" s="730"/>
      <c r="D100" s="730"/>
      <c r="E100" s="730"/>
      <c r="F100" s="730"/>
      <c r="G100" s="730"/>
      <c r="H100" s="730"/>
      <c r="I100" s="730"/>
      <c r="J100" s="731"/>
      <c r="K100" s="102" t="s">
        <v>47</v>
      </c>
      <c r="M100" s="109"/>
      <c r="S100" s="370"/>
      <c r="T100" s="363"/>
    </row>
    <row r="101" spans="1:20" ht="5.25" customHeight="1">
      <c r="A101" s="19"/>
      <c r="B101" s="103"/>
      <c r="C101" s="12"/>
      <c r="D101" s="12"/>
      <c r="E101" s="12"/>
      <c r="F101" s="110"/>
      <c r="G101" s="12"/>
      <c r="H101" s="12"/>
      <c r="I101" s="12"/>
      <c r="J101" s="20"/>
      <c r="K101" s="18"/>
      <c r="L101" s="103"/>
      <c r="M101" s="111"/>
      <c r="N101" s="11"/>
      <c r="O101" s="12"/>
      <c r="P101" s="12"/>
      <c r="Q101" s="12"/>
      <c r="R101" s="12"/>
      <c r="S101" s="370"/>
      <c r="T101" s="363"/>
    </row>
    <row r="102" spans="1:20" s="57" customFormat="1" ht="14.25">
      <c r="A102" s="655" t="s">
        <v>526</v>
      </c>
      <c r="B102" s="656"/>
      <c r="C102" s="656"/>
      <c r="D102" s="656"/>
      <c r="E102" s="656"/>
      <c r="F102" s="656"/>
      <c r="G102" s="656"/>
      <c r="H102" s="656"/>
      <c r="I102" s="656"/>
      <c r="J102" s="105"/>
      <c r="M102" s="101"/>
      <c r="O102" s="18"/>
      <c r="S102" s="370"/>
      <c r="T102" s="363"/>
    </row>
    <row r="103" spans="1:20" ht="10.5" customHeight="1">
      <c r="A103" s="465"/>
      <c r="B103" s="306"/>
      <c r="C103" s="306"/>
      <c r="D103" s="306"/>
      <c r="E103" s="306"/>
      <c r="F103" s="306"/>
      <c r="G103" s="306"/>
      <c r="H103" s="306"/>
      <c r="I103" s="306"/>
      <c r="J103" s="466"/>
      <c r="L103" s="5"/>
      <c r="M103" s="5"/>
      <c r="N103" s="104"/>
      <c r="O103" s="18"/>
      <c r="P103" s="57"/>
      <c r="Q103" s="57"/>
      <c r="R103" s="69"/>
      <c r="S103" s="370"/>
      <c r="T103" s="363"/>
    </row>
    <row r="104" spans="1:20" ht="19.5" customHeight="1">
      <c r="A104" s="362" t="s">
        <v>517</v>
      </c>
      <c r="B104" s="306"/>
      <c r="C104" s="306"/>
      <c r="D104" s="306"/>
      <c r="E104" s="306"/>
      <c r="F104" s="306"/>
      <c r="G104" s="657" t="s">
        <v>25</v>
      </c>
      <c r="H104" s="657"/>
      <c r="I104" s="12"/>
      <c r="J104" s="466"/>
      <c r="K104" s="5"/>
      <c r="L104" s="5"/>
      <c r="M104" s="254"/>
      <c r="N104" s="104"/>
      <c r="O104" s="18"/>
      <c r="P104" s="57"/>
      <c r="Q104" s="57"/>
      <c r="S104" s="370"/>
      <c r="T104" s="363"/>
    </row>
    <row r="105" spans="1:20" ht="8.25" customHeight="1">
      <c r="A105" s="465"/>
      <c r="B105" s="306"/>
      <c r="C105" s="306"/>
      <c r="D105" s="306"/>
      <c r="E105" s="306">
        <f>IF(D104="да",#REF!,"")</f>
      </c>
      <c r="F105" s="306"/>
      <c r="G105" s="306"/>
      <c r="H105" s="306"/>
      <c r="I105" s="306"/>
      <c r="J105" s="466"/>
      <c r="L105" s="57"/>
      <c r="M105" s="208"/>
      <c r="N105" s="104"/>
      <c r="O105" s="18"/>
      <c r="P105" s="57"/>
      <c r="Q105" s="57"/>
      <c r="R105" s="57"/>
      <c r="S105" s="370"/>
      <c r="T105" s="363"/>
    </row>
    <row r="106" spans="1:20" ht="21" customHeight="1">
      <c r="A106" s="673" t="s">
        <v>48</v>
      </c>
      <c r="B106" s="674"/>
      <c r="C106" s="674"/>
      <c r="D106" s="674"/>
      <c r="E106" s="674"/>
      <c r="F106" s="674"/>
      <c r="G106" s="674"/>
      <c r="H106" s="674"/>
      <c r="I106" s="674"/>
      <c r="J106" s="24"/>
      <c r="K106" s="25"/>
      <c r="L106" s="103"/>
      <c r="M106" s="10"/>
      <c r="N106" s="11"/>
      <c r="O106" s="12"/>
      <c r="P106" s="12"/>
      <c r="Q106" s="12"/>
      <c r="R106" s="12"/>
      <c r="S106" s="370"/>
      <c r="T106" s="363"/>
    </row>
    <row r="107" spans="1:256" ht="3.75" customHeight="1">
      <c r="A107" s="112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3"/>
      <c r="M107" s="114"/>
      <c r="N107" s="115"/>
      <c r="O107" s="57"/>
      <c r="P107" s="57"/>
      <c r="Q107" s="57"/>
      <c r="R107" s="18"/>
      <c r="S107" s="370"/>
      <c r="T107" s="363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6" t="s">
        <v>49</v>
      </c>
      <c r="B108" s="25"/>
      <c r="C108" s="25"/>
      <c r="D108" s="25"/>
      <c r="E108" s="25"/>
      <c r="F108" s="477">
        <v>1</v>
      </c>
      <c r="G108" s="25"/>
      <c r="H108" s="25"/>
      <c r="I108" s="25"/>
      <c r="J108" s="71"/>
      <c r="K108" s="25"/>
      <c r="L108" s="113"/>
      <c r="M108" s="114"/>
      <c r="N108" s="115"/>
      <c r="O108" s="57"/>
      <c r="P108" s="57"/>
      <c r="Q108" s="57"/>
      <c r="R108" s="18"/>
      <c r="S108" s="370"/>
      <c r="T108" s="363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7"/>
      <c r="B109" s="69"/>
      <c r="C109" s="69"/>
      <c r="D109" s="69"/>
      <c r="E109" s="69"/>
      <c r="F109" s="69"/>
      <c r="G109" s="69"/>
      <c r="H109" s="69"/>
      <c r="I109" s="69"/>
      <c r="J109" s="118"/>
      <c r="K109" s="119"/>
      <c r="R109" s="12"/>
      <c r="S109" s="370"/>
      <c r="T109" s="363"/>
    </row>
    <row r="110" spans="1:20" ht="15">
      <c r="A110" s="120" t="s">
        <v>50</v>
      </c>
      <c r="B110" s="69"/>
      <c r="C110" s="684"/>
      <c r="D110" s="684"/>
      <c r="E110" s="684"/>
      <c r="F110" s="684"/>
      <c r="G110" s="684"/>
      <c r="H110" s="684"/>
      <c r="I110" s="684"/>
      <c r="J110" s="121"/>
      <c r="K110" s="122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0"/>
      <c r="T110" s="363"/>
    </row>
    <row r="111" spans="1:20" ht="18">
      <c r="A111" s="755" t="s">
        <v>51</v>
      </c>
      <c r="B111" s="69"/>
      <c r="C111" s="685" t="s">
        <v>52</v>
      </c>
      <c r="D111" s="685"/>
      <c r="E111" s="685"/>
      <c r="F111" s="685"/>
      <c r="G111" s="685"/>
      <c r="H111" s="685"/>
      <c r="I111" s="123"/>
      <c r="J111" s="124"/>
      <c r="K111" s="125"/>
      <c r="L111" s="26"/>
      <c r="R111" s="12"/>
      <c r="S111" s="370"/>
      <c r="T111" s="363"/>
    </row>
    <row r="112" spans="1:20" ht="15.75" customHeight="1">
      <c r="A112" s="755"/>
      <c r="B112" s="126" t="s">
        <v>53</v>
      </c>
      <c r="C112" s="684"/>
      <c r="D112" s="684"/>
      <c r="E112" s="684"/>
      <c r="F112" s="684"/>
      <c r="G112" s="684"/>
      <c r="H112" s="684"/>
      <c r="I112" s="684"/>
      <c r="J112" s="121"/>
      <c r="K112" s="122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0"/>
      <c r="T112" s="363"/>
    </row>
    <row r="113" spans="1:20" ht="18">
      <c r="A113" s="127"/>
      <c r="B113" s="126"/>
      <c r="C113" s="685" t="s">
        <v>52</v>
      </c>
      <c r="D113" s="685"/>
      <c r="E113" s="685"/>
      <c r="F113" s="685"/>
      <c r="G113" s="685"/>
      <c r="H113" s="685"/>
      <c r="I113" s="123"/>
      <c r="J113" s="124"/>
      <c r="K113" s="125"/>
      <c r="R113" s="12"/>
      <c r="S113" s="370"/>
      <c r="T113" s="363"/>
    </row>
    <row r="114" spans="1:20" ht="12.75" customHeight="1">
      <c r="A114" s="127"/>
      <c r="B114" s="126">
        <f>IF($F$108&gt;1,"2)","")</f>
      </c>
      <c r="C114" s="684"/>
      <c r="D114" s="684"/>
      <c r="E114" s="684"/>
      <c r="F114" s="684"/>
      <c r="G114" s="684"/>
      <c r="H114" s="684"/>
      <c r="I114" s="684"/>
      <c r="J114" s="121"/>
      <c r="K114" s="122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0"/>
      <c r="T114" s="363"/>
    </row>
    <row r="115" spans="1:20" ht="18">
      <c r="A115" s="127"/>
      <c r="B115" s="126"/>
      <c r="C115" s="685" t="s">
        <v>52</v>
      </c>
      <c r="D115" s="685"/>
      <c r="E115" s="685"/>
      <c r="F115" s="685"/>
      <c r="G115" s="685"/>
      <c r="H115" s="685"/>
      <c r="I115" s="123"/>
      <c r="J115" s="124"/>
      <c r="K115" s="125"/>
      <c r="R115" s="12"/>
      <c r="S115" s="370"/>
      <c r="T115" s="363"/>
    </row>
    <row r="116" spans="1:20" ht="15.75" customHeight="1" hidden="1">
      <c r="A116" s="128"/>
      <c r="B116" s="126">
        <f>IF($F$108&gt;2,"3)","")</f>
      </c>
      <c r="C116" s="696"/>
      <c r="D116" s="696"/>
      <c r="E116" s="696"/>
      <c r="F116" s="696"/>
      <c r="G116" s="696"/>
      <c r="H116" s="696"/>
      <c r="I116" s="696"/>
      <c r="J116" s="121"/>
      <c r="K116" s="122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0"/>
      <c r="T116" s="363"/>
    </row>
    <row r="117" spans="1:20" ht="15.75" customHeight="1" hidden="1">
      <c r="A117" s="128"/>
      <c r="B117" s="129"/>
      <c r="C117" s="734" t="s">
        <v>54</v>
      </c>
      <c r="D117" s="734"/>
      <c r="E117" s="734"/>
      <c r="F117" s="734"/>
      <c r="G117" s="734"/>
      <c r="H117" s="734"/>
      <c r="I117" s="123"/>
      <c r="J117" s="124"/>
      <c r="K117" s="125"/>
      <c r="R117" s="12"/>
      <c r="S117" s="370"/>
      <c r="T117" s="363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0"/>
      <c r="K118" s="18"/>
      <c r="R118" s="12"/>
      <c r="S118" s="370"/>
      <c r="T118" s="363"/>
    </row>
    <row r="119" spans="1:20" ht="15.75" customHeight="1">
      <c r="A119" s="131" t="s">
        <v>55</v>
      </c>
      <c r="B119" s="132" t="s">
        <v>56</v>
      </c>
      <c r="C119" s="481">
        <v>1</v>
      </c>
      <c r="D119" s="133" t="s">
        <v>57</v>
      </c>
      <c r="E119" s="481" t="s">
        <v>58</v>
      </c>
      <c r="F119" s="134"/>
      <c r="G119" s="135">
        <v>20</v>
      </c>
      <c r="H119" s="482">
        <v>21</v>
      </c>
      <c r="I119" s="136" t="s">
        <v>59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0"/>
      <c r="T119" s="363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3"/>
      <c r="R120" s="12"/>
      <c r="S120" s="370"/>
      <c r="T120" s="363"/>
    </row>
    <row r="121" spans="1:20" ht="24" customHeight="1">
      <c r="A121" s="735" t="s">
        <v>467</v>
      </c>
      <c r="B121" s="736"/>
      <c r="C121" s="736"/>
      <c r="D121" s="736"/>
      <c r="E121" s="736"/>
      <c r="F121" s="736"/>
      <c r="G121" s="736"/>
      <c r="H121" s="736"/>
      <c r="I121" s="736"/>
      <c r="J121" s="467"/>
      <c r="K121" s="18"/>
      <c r="R121" s="12"/>
      <c r="S121" s="370"/>
      <c r="T121" s="363"/>
    </row>
    <row r="122" spans="1:20" ht="15.75" customHeight="1">
      <c r="A122" s="485"/>
      <c r="B122" s="486"/>
      <c r="C122" s="486"/>
      <c r="D122" s="487"/>
      <c r="E122" s="488">
        <f>IF(F122="","","Всего набрано аттестуемым педагогическим работником  ")</f>
      </c>
      <c r="F122" s="489">
        <f>ЭЗ!Всего</f>
      </c>
      <c r="G122" s="490">
        <f>IF(F122="","","баллов.")</f>
      </c>
      <c r="H122" s="487"/>
      <c r="I122" s="491">
        <f>IF(F122="","","(мин. П-"&amp;порог_п&amp;", В-"&amp;порог_в&amp;")")</f>
      </c>
      <c r="J122" s="389"/>
      <c r="K122" s="18"/>
      <c r="R122" s="12"/>
      <c r="S122" s="370"/>
      <c r="T122" s="363"/>
    </row>
    <row r="123" spans="1:20" ht="21.75" customHeight="1">
      <c r="A123" s="492"/>
      <c r="B123" s="493"/>
      <c r="C123" s="493"/>
      <c r="D123" s="493"/>
      <c r="E123" s="493"/>
      <c r="F123" s="494"/>
      <c r="G123" s="493"/>
      <c r="H123" s="493"/>
      <c r="I123" s="18"/>
      <c r="J123" s="495">
        <f>IF(OR(F122="",долж_ОС&lt;&gt;"учитель"),"",B27)</f>
      </c>
      <c r="K123" s="18"/>
      <c r="R123" s="12"/>
      <c r="S123" s="370"/>
      <c r="T123" s="363"/>
    </row>
    <row r="124" spans="1:20" ht="15" customHeight="1">
      <c r="A124" s="686">
        <f>IF(OR(фио_ОС="",F122=0),"",ЭЗ!Z83&amp;K125&amp;ЭЗ!Z84)</f>
      </c>
      <c r="B124" s="687"/>
      <c r="C124" s="687"/>
      <c r="D124" s="687"/>
      <c r="E124" s="687"/>
      <c r="F124" s="687"/>
      <c r="G124" s="687"/>
      <c r="H124" s="687"/>
      <c r="I124" s="687"/>
      <c r="J124" s="688"/>
      <c r="K124" s="18" t="str">
        <f>ЭЗ!Z82</f>
        <v>_</v>
      </c>
      <c r="L124" s="2" t="s">
        <v>742</v>
      </c>
      <c r="R124" s="12"/>
      <c r="S124" s="370"/>
      <c r="T124" s="363"/>
    </row>
    <row r="125" spans="1:20" ht="23.25" customHeight="1">
      <c r="A125" s="686"/>
      <c r="B125" s="687"/>
      <c r="C125" s="687"/>
      <c r="D125" s="687"/>
      <c r="E125" s="687"/>
      <c r="F125" s="687"/>
      <c r="G125" s="687"/>
      <c r="H125" s="687"/>
      <c r="I125" s="687"/>
      <c r="J125" s="688"/>
      <c r="K125" s="412" t="s">
        <v>469</v>
      </c>
      <c r="L125" s="2" t="s">
        <v>506</v>
      </c>
      <c r="R125" s="12"/>
      <c r="S125" s="370"/>
      <c r="T125" s="363"/>
    </row>
    <row r="126" spans="1:20" ht="15.75" customHeight="1">
      <c r="A126" s="719">
        <f>IF(A127="","","Рекомендации: ")</f>
      </c>
      <c r="B126" s="720"/>
      <c r="C126" s="720"/>
      <c r="D126" s="720"/>
      <c r="E126" s="720"/>
      <c r="F126" s="720"/>
      <c r="G126" s="720"/>
      <c r="H126" s="720"/>
      <c r="I126" s="720"/>
      <c r="J126" s="721"/>
      <c r="K126" s="18"/>
      <c r="R126" s="12"/>
      <c r="S126" s="370"/>
      <c r="T126" s="363"/>
    </row>
    <row r="127" spans="1:20" ht="29.25" customHeight="1">
      <c r="A127" s="737">
        <f>IF(фио_ОС="","",рек_итог)</f>
      </c>
      <c r="B127" s="738"/>
      <c r="C127" s="738"/>
      <c r="D127" s="738"/>
      <c r="E127" s="738"/>
      <c r="F127" s="738"/>
      <c r="G127" s="738"/>
      <c r="H127" s="738"/>
      <c r="I127" s="738"/>
      <c r="J127" s="739"/>
      <c r="K127" s="18"/>
      <c r="R127" s="12"/>
      <c r="S127" s="370"/>
      <c r="T127" s="363"/>
    </row>
    <row r="128" spans="1:20" ht="2.25" customHeight="1">
      <c r="A128" s="496"/>
      <c r="B128" s="497"/>
      <c r="C128" s="497"/>
      <c r="D128" s="497"/>
      <c r="E128" s="497"/>
      <c r="F128" s="497"/>
      <c r="G128" s="497"/>
      <c r="H128" s="497"/>
      <c r="I128" s="497"/>
      <c r="J128" s="139"/>
      <c r="K128" s="18"/>
      <c r="R128" s="12"/>
      <c r="S128" s="370"/>
      <c r="T128" s="363"/>
    </row>
    <row r="129" spans="1:20" ht="15.75" customHeight="1">
      <c r="A129" s="741" t="str">
        <f>IF(ЭЗ!A497&lt;12,"Введите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42"/>
      <c r="C129" s="742"/>
      <c r="D129" s="742"/>
      <c r="E129" s="742"/>
      <c r="F129" s="742"/>
      <c r="G129" s="742"/>
      <c r="H129" s="742"/>
      <c r="I129" s="742"/>
      <c r="J129" s="743"/>
      <c r="K129" s="1"/>
      <c r="R129" s="12"/>
      <c r="S129" s="370"/>
      <c r="T129" s="363"/>
    </row>
    <row r="130" spans="1:20" ht="9" customHeight="1">
      <c r="A130" s="704"/>
      <c r="B130" s="705"/>
      <c r="C130" s="705"/>
      <c r="D130" s="705"/>
      <c r="E130" s="705"/>
      <c r="F130" s="705"/>
      <c r="G130" s="705"/>
      <c r="H130" s="705"/>
      <c r="I130" s="705"/>
      <c r="J130" s="706"/>
      <c r="K130" s="302" t="s">
        <v>60</v>
      </c>
      <c r="R130" s="12"/>
      <c r="S130" s="370"/>
      <c r="T130" s="363"/>
    </row>
    <row r="131" spans="1:20" ht="12.75" customHeight="1" hidden="1">
      <c r="A131" s="19"/>
      <c r="B131" s="140">
        <v>1</v>
      </c>
      <c r="C131" s="140">
        <v>2</v>
      </c>
      <c r="D131" s="140">
        <v>3</v>
      </c>
      <c r="E131" s="140">
        <v>4</v>
      </c>
      <c r="F131" s="140">
        <v>5</v>
      </c>
      <c r="G131" s="140">
        <v>6</v>
      </c>
      <c r="H131" s="140">
        <v>7</v>
      </c>
      <c r="I131" s="12"/>
      <c r="J131" s="20"/>
      <c r="K131" s="2"/>
      <c r="L131" s="3"/>
      <c r="M131" s="4"/>
      <c r="N131" s="5"/>
      <c r="P131" s="141"/>
      <c r="Q131" s="12"/>
      <c r="R131" s="12"/>
      <c r="S131" s="370"/>
      <c r="T131" s="363"/>
    </row>
    <row r="132" spans="1:20" ht="15.75" customHeight="1" hidden="1">
      <c r="A132" s="19">
        <v>1</v>
      </c>
      <c r="B132" s="300" t="s">
        <v>61</v>
      </c>
      <c r="C132" s="301" t="s">
        <v>62</v>
      </c>
      <c r="D132" s="302" t="s">
        <v>63</v>
      </c>
      <c r="E132" s="301" t="s">
        <v>64</v>
      </c>
      <c r="F132" s="300" t="s">
        <v>65</v>
      </c>
      <c r="G132" s="301" t="s">
        <v>66</v>
      </c>
      <c r="H132" s="300" t="s">
        <v>67</v>
      </c>
      <c r="I132" s="303"/>
      <c r="J132" s="606" t="s">
        <v>744</v>
      </c>
      <c r="K132" s="2"/>
      <c r="L132" s="3"/>
      <c r="M132" s="4"/>
      <c r="N132" s="5"/>
      <c r="P132" s="141"/>
      <c r="Q132" s="12"/>
      <c r="R132" s="12"/>
      <c r="S132" s="370"/>
      <c r="T132" s="363"/>
    </row>
    <row r="133" spans="1:20" ht="15.75" customHeight="1" hidden="1">
      <c r="A133" s="19">
        <v>2</v>
      </c>
      <c r="B133" s="300" t="s">
        <v>277</v>
      </c>
      <c r="C133" s="301" t="s">
        <v>68</v>
      </c>
      <c r="D133" s="302" t="s">
        <v>340</v>
      </c>
      <c r="E133" s="301" t="s">
        <v>76</v>
      </c>
      <c r="F133" s="300" t="s">
        <v>70</v>
      </c>
      <c r="G133" s="301" t="s">
        <v>71</v>
      </c>
      <c r="H133" s="300" t="s">
        <v>72</v>
      </c>
      <c r="I133" s="12"/>
      <c r="J133" s="20"/>
      <c r="K133" s="2"/>
      <c r="L133" s="3"/>
      <c r="M133" s="4"/>
      <c r="N133" s="5"/>
      <c r="P133" s="141"/>
      <c r="Q133" s="12"/>
      <c r="R133" s="12"/>
      <c r="S133" s="370"/>
      <c r="T133" s="363"/>
    </row>
    <row r="134" spans="1:20" ht="15.75" customHeight="1" hidden="1">
      <c r="A134" s="19">
        <v>3</v>
      </c>
      <c r="B134" s="300" t="s">
        <v>73</v>
      </c>
      <c r="C134" s="301" t="s">
        <v>74</v>
      </c>
      <c r="D134" s="302" t="s">
        <v>75</v>
      </c>
      <c r="E134" s="301" t="s">
        <v>87</v>
      </c>
      <c r="F134" s="300" t="s">
        <v>77</v>
      </c>
      <c r="G134" s="301" t="s">
        <v>78</v>
      </c>
      <c r="H134" s="300" t="s">
        <v>79</v>
      </c>
      <c r="I134" s="12"/>
      <c r="J134" s="20"/>
      <c r="K134" s="2"/>
      <c r="L134" s="3"/>
      <c r="M134" s="4"/>
      <c r="N134" s="5"/>
      <c r="P134" s="141"/>
      <c r="Q134" s="12"/>
      <c r="R134" s="12"/>
      <c r="S134" s="370"/>
      <c r="T134" s="363"/>
    </row>
    <row r="135" spans="1:20" ht="15.75" customHeight="1" hidden="1">
      <c r="A135" s="19">
        <v>4</v>
      </c>
      <c r="B135" s="300" t="s">
        <v>84</v>
      </c>
      <c r="C135" s="301" t="s">
        <v>85</v>
      </c>
      <c r="D135" s="302" t="s">
        <v>80</v>
      </c>
      <c r="E135" s="301" t="s">
        <v>94</v>
      </c>
      <c r="F135" s="300" t="s">
        <v>342</v>
      </c>
      <c r="G135" s="301" t="s">
        <v>82</v>
      </c>
      <c r="H135" s="300" t="s">
        <v>83</v>
      </c>
      <c r="I135" s="12"/>
      <c r="J135" s="20"/>
      <c r="K135" s="2"/>
      <c r="L135" s="3"/>
      <c r="M135" s="4"/>
      <c r="N135" s="5"/>
      <c r="P135" s="141"/>
      <c r="Q135" s="12"/>
      <c r="R135" s="12"/>
      <c r="S135" s="370"/>
      <c r="T135" s="363"/>
    </row>
    <row r="136" spans="1:20" ht="15.75" customHeight="1" hidden="1">
      <c r="A136" s="19">
        <v>5</v>
      </c>
      <c r="B136" s="300" t="s">
        <v>91</v>
      </c>
      <c r="C136" s="301" t="s">
        <v>92</v>
      </c>
      <c r="D136" s="302" t="s">
        <v>86</v>
      </c>
      <c r="E136" s="301" t="s">
        <v>100</v>
      </c>
      <c r="F136" s="300" t="s">
        <v>88</v>
      </c>
      <c r="G136" s="301" t="s">
        <v>89</v>
      </c>
      <c r="H136" s="300" t="s">
        <v>90</v>
      </c>
      <c r="I136" s="12"/>
      <c r="J136" s="20"/>
      <c r="K136" s="2"/>
      <c r="L136" s="3"/>
      <c r="M136" s="4"/>
      <c r="N136" s="5"/>
      <c r="P136" s="141"/>
      <c r="Q136" s="12"/>
      <c r="R136" s="12"/>
      <c r="S136" s="370"/>
      <c r="T136" s="363"/>
    </row>
    <row r="137" spans="1:20" ht="15.75" customHeight="1" hidden="1">
      <c r="A137" s="19">
        <v>6</v>
      </c>
      <c r="B137" s="300" t="s">
        <v>98</v>
      </c>
      <c r="C137" s="301" t="s">
        <v>339</v>
      </c>
      <c r="D137" s="302" t="s">
        <v>93</v>
      </c>
      <c r="E137" s="301" t="s">
        <v>105</v>
      </c>
      <c r="F137" s="300" t="s">
        <v>95</v>
      </c>
      <c r="G137" s="301" t="s">
        <v>96</v>
      </c>
      <c r="H137" s="300" t="s">
        <v>101</v>
      </c>
      <c r="I137" s="12"/>
      <c r="J137" s="20"/>
      <c r="K137" s="2"/>
      <c r="L137" s="3"/>
      <c r="M137" s="4"/>
      <c r="N137" s="5"/>
      <c r="P137" s="141"/>
      <c r="Q137" s="12"/>
      <c r="R137" s="12"/>
      <c r="S137" s="370"/>
      <c r="T137" s="363"/>
    </row>
    <row r="138" spans="1:20" ht="15.75" customHeight="1" hidden="1">
      <c r="A138" s="19">
        <v>7</v>
      </c>
      <c r="B138" s="300" t="s">
        <v>102</v>
      </c>
      <c r="C138" s="301" t="s">
        <v>103</v>
      </c>
      <c r="D138" s="302" t="s">
        <v>99</v>
      </c>
      <c r="E138" s="301" t="s">
        <v>111</v>
      </c>
      <c r="F138" s="300" t="s">
        <v>343</v>
      </c>
      <c r="G138" s="301" t="s">
        <v>107</v>
      </c>
      <c r="H138" s="300" t="s">
        <v>108</v>
      </c>
      <c r="I138" s="12"/>
      <c r="J138" s="20"/>
      <c r="K138" s="2"/>
      <c r="L138" s="3"/>
      <c r="M138" s="4"/>
      <c r="N138" s="5"/>
      <c r="P138" s="141"/>
      <c r="Q138" s="12"/>
      <c r="R138" s="12"/>
      <c r="S138" s="370"/>
      <c r="T138" s="363"/>
    </row>
    <row r="139" spans="1:20" ht="15.75" customHeight="1" hidden="1">
      <c r="A139" s="19">
        <v>8</v>
      </c>
      <c r="B139" s="300" t="s">
        <v>109</v>
      </c>
      <c r="C139" s="301" t="s">
        <v>110</v>
      </c>
      <c r="D139" s="302" t="s">
        <v>104</v>
      </c>
      <c r="E139" s="301" t="s">
        <v>341</v>
      </c>
      <c r="F139" s="300" t="s">
        <v>106</v>
      </c>
      <c r="G139" s="301" t="s">
        <v>5</v>
      </c>
      <c r="H139" s="647" t="s">
        <v>97</v>
      </c>
      <c r="I139" s="12"/>
      <c r="J139" s="20"/>
      <c r="K139" s="2"/>
      <c r="L139" s="3"/>
      <c r="M139" s="4"/>
      <c r="N139" s="5"/>
      <c r="P139" s="141"/>
      <c r="Q139" s="12"/>
      <c r="R139" s="12"/>
      <c r="S139" s="370"/>
      <c r="T139" s="363"/>
    </row>
    <row r="140" spans="1:20" ht="15.75" customHeight="1" hidden="1">
      <c r="A140" s="19">
        <v>9</v>
      </c>
      <c r="B140" s="300" t="s">
        <v>5</v>
      </c>
      <c r="C140" s="301" t="s">
        <v>113</v>
      </c>
      <c r="D140" s="302" t="s">
        <v>114</v>
      </c>
      <c r="E140" s="646" t="s">
        <v>69</v>
      </c>
      <c r="F140" s="300" t="s">
        <v>112</v>
      </c>
      <c r="G140" s="301" t="s">
        <v>5</v>
      </c>
      <c r="H140" s="300" t="s">
        <v>5</v>
      </c>
      <c r="I140" s="12"/>
      <c r="J140" s="20"/>
      <c r="K140" s="2"/>
      <c r="L140" s="3"/>
      <c r="M140" s="4"/>
      <c r="N140" s="5"/>
      <c r="P140" s="141"/>
      <c r="Q140" s="12"/>
      <c r="R140" s="12"/>
      <c r="S140" s="370"/>
      <c r="T140" s="363"/>
    </row>
    <row r="141" spans="1:20" ht="15.75" customHeight="1" hidden="1">
      <c r="A141" s="19">
        <v>10</v>
      </c>
      <c r="B141" s="300" t="s">
        <v>5</v>
      </c>
      <c r="C141" s="301" t="s">
        <v>115</v>
      </c>
      <c r="D141" s="302" t="s">
        <v>5</v>
      </c>
      <c r="E141" s="646" t="s">
        <v>81</v>
      </c>
      <c r="F141" s="300" t="s">
        <v>5</v>
      </c>
      <c r="G141" s="301" t="s">
        <v>5</v>
      </c>
      <c r="H141" s="300" t="s">
        <v>5</v>
      </c>
      <c r="I141" s="12"/>
      <c r="J141" s="20"/>
      <c r="K141" s="2"/>
      <c r="L141" s="3"/>
      <c r="M141" s="4"/>
      <c r="N141" s="5"/>
      <c r="P141" s="141"/>
      <c r="Q141" s="12"/>
      <c r="R141" s="12"/>
      <c r="S141" s="370"/>
      <c r="T141" s="363"/>
    </row>
    <row r="142" spans="1:20" ht="15.75" customHeight="1" hidden="1">
      <c r="A142" s="19">
        <v>11</v>
      </c>
      <c r="B142" s="300" t="s">
        <v>5</v>
      </c>
      <c r="C142" s="301" t="s">
        <v>116</v>
      </c>
      <c r="D142" s="302" t="s">
        <v>5</v>
      </c>
      <c r="E142" s="301" t="s">
        <v>5</v>
      </c>
      <c r="F142" s="300" t="s">
        <v>5</v>
      </c>
      <c r="G142" s="301" t="s">
        <v>5</v>
      </c>
      <c r="H142" s="300" t="s">
        <v>5</v>
      </c>
      <c r="I142" s="12"/>
      <c r="J142" s="20"/>
      <c r="K142" s="2"/>
      <c r="L142" s="3"/>
      <c r="M142" s="4"/>
      <c r="N142" s="5"/>
      <c r="P142" s="141"/>
      <c r="Q142" s="12"/>
      <c r="R142" s="12"/>
      <c r="S142" s="370"/>
      <c r="T142" s="363"/>
    </row>
    <row r="143" spans="1:20" ht="15.75" customHeight="1" hidden="1">
      <c r="A143" s="19">
        <v>12</v>
      </c>
      <c r="B143" s="300" t="s">
        <v>5</v>
      </c>
      <c r="C143" s="301" t="s">
        <v>117</v>
      </c>
      <c r="D143" s="302" t="s">
        <v>5</v>
      </c>
      <c r="E143" s="301" t="s">
        <v>5</v>
      </c>
      <c r="F143" s="300" t="s">
        <v>5</v>
      </c>
      <c r="G143" s="301" t="s">
        <v>5</v>
      </c>
      <c r="H143" s="300" t="s">
        <v>5</v>
      </c>
      <c r="I143" s="12"/>
      <c r="J143" s="20"/>
      <c r="K143" s="2"/>
      <c r="L143" s="3"/>
      <c r="M143" s="4"/>
      <c r="N143" s="5"/>
      <c r="P143" s="141"/>
      <c r="Q143" s="12"/>
      <c r="R143" s="12"/>
      <c r="S143" s="370"/>
      <c r="T143" s="363"/>
    </row>
    <row r="144" spans="1:20" s="179" customFormat="1" ht="15.75" customHeight="1" hidden="1">
      <c r="A144" s="648" t="s">
        <v>5</v>
      </c>
      <c r="B144" s="140">
        <v>8</v>
      </c>
      <c r="C144" s="140">
        <v>12</v>
      </c>
      <c r="D144" s="140">
        <v>9</v>
      </c>
      <c r="E144" s="140">
        <v>8</v>
      </c>
      <c r="F144" s="140">
        <v>9</v>
      </c>
      <c r="G144" s="140">
        <v>7</v>
      </c>
      <c r="H144" s="140">
        <v>7</v>
      </c>
      <c r="I144" s="140">
        <f>SUM(B144:H144)</f>
        <v>60</v>
      </c>
      <c r="J144" s="649"/>
      <c r="K144" s="27"/>
      <c r="L144" s="650"/>
      <c r="M144" s="597"/>
      <c r="P144" s="651"/>
      <c r="Q144" s="140"/>
      <c r="R144" s="140"/>
      <c r="S144" s="652"/>
      <c r="T144" s="653"/>
    </row>
    <row r="145" spans="1:20" ht="12.75" customHeight="1" hidden="1">
      <c r="A145" s="607" t="s">
        <v>5</v>
      </c>
      <c r="B145" s="142" t="s">
        <v>5</v>
      </c>
      <c r="C145" s="142" t="s">
        <v>5</v>
      </c>
      <c r="D145" s="142" t="s">
        <v>5</v>
      </c>
      <c r="E145" s="646" t="s">
        <v>69</v>
      </c>
      <c r="F145" s="142" t="s">
        <v>5</v>
      </c>
      <c r="G145" s="142" t="s">
        <v>5</v>
      </c>
      <c r="H145" s="647" t="s">
        <v>97</v>
      </c>
      <c r="I145" s="142" t="s">
        <v>5</v>
      </c>
      <c r="J145" s="20"/>
      <c r="K145" s="2"/>
      <c r="L145" s="3"/>
      <c r="M145" s="4"/>
      <c r="N145" s="5"/>
      <c r="P145" s="141"/>
      <c r="Q145" s="12"/>
      <c r="R145" s="12"/>
      <c r="S145" s="370"/>
      <c r="T145" s="363"/>
    </row>
    <row r="146" spans="1:20" ht="12.75" customHeight="1" hidden="1">
      <c r="A146" s="607" t="s">
        <v>5</v>
      </c>
      <c r="B146" s="142" t="s">
        <v>5</v>
      </c>
      <c r="C146" s="142" t="s">
        <v>5</v>
      </c>
      <c r="D146" s="142" t="s">
        <v>5</v>
      </c>
      <c r="E146" s="646" t="s">
        <v>81</v>
      </c>
      <c r="F146" s="142" t="s">
        <v>5</v>
      </c>
      <c r="G146" s="142" t="s">
        <v>5</v>
      </c>
      <c r="H146" s="142" t="s">
        <v>5</v>
      </c>
      <c r="I146" s="142" t="s">
        <v>5</v>
      </c>
      <c r="J146" s="20"/>
      <c r="K146" s="18"/>
      <c r="R146" s="12"/>
      <c r="S146" s="370"/>
      <c r="T146" s="363"/>
    </row>
    <row r="147" spans="1:20" ht="4.5" customHeight="1">
      <c r="A147" s="19"/>
      <c r="B147" s="12"/>
      <c r="C147" s="142"/>
      <c r="D147" s="142"/>
      <c r="E147" s="142"/>
      <c r="F147" s="12"/>
      <c r="G147" s="12"/>
      <c r="H147" s="12"/>
      <c r="I147" s="12"/>
      <c r="J147" s="20"/>
      <c r="K147" s="18"/>
      <c r="R147" s="12"/>
      <c r="S147" s="370"/>
      <c r="T147" s="363"/>
    </row>
    <row r="148" spans="1:256" ht="19.5" customHeight="1">
      <c r="A148" s="749" t="s">
        <v>118</v>
      </c>
      <c r="B148" s="750"/>
      <c r="C148" s="750"/>
      <c r="D148" s="750"/>
      <c r="E148" s="750"/>
      <c r="F148" s="750"/>
      <c r="G148" s="750"/>
      <c r="H148" s="750"/>
      <c r="I148" s="750"/>
      <c r="J148" s="751"/>
      <c r="K148" s="143"/>
      <c r="L148" s="144"/>
      <c r="M148" s="145"/>
      <c r="N148" s="146"/>
      <c r="O148" s="147"/>
      <c r="P148" s="147"/>
      <c r="Q148" s="147"/>
      <c r="R148" s="148"/>
      <c r="S148" s="370"/>
      <c r="T148" s="363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  <c r="IO148" s="147"/>
      <c r="IP148" s="147"/>
      <c r="IQ148" s="147"/>
      <c r="IR148" s="147"/>
      <c r="IS148" s="147"/>
      <c r="IT148" s="147"/>
      <c r="IU148" s="147"/>
      <c r="IV148" s="147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4"/>
      <c r="M149" s="3"/>
      <c r="N149" s="4"/>
      <c r="O149" s="5"/>
      <c r="P149" s="5"/>
      <c r="Q149" s="5"/>
      <c r="R149" s="12"/>
      <c r="S149" s="370"/>
      <c r="T149" s="36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4"/>
      <c r="M150" s="3"/>
      <c r="N150" s="4"/>
      <c r="O150" s="5"/>
      <c r="P150" s="5"/>
      <c r="Q150" s="5"/>
      <c r="R150" s="12"/>
      <c r="S150" s="370"/>
      <c r="T150" s="363"/>
      <c r="U150" s="5"/>
      <c r="V150" s="15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2" t="s">
        <v>164</v>
      </c>
      <c r="B151" s="753"/>
      <c r="C151" s="753"/>
      <c r="D151" s="753"/>
      <c r="E151" s="753"/>
      <c r="F151" s="753"/>
      <c r="G151" s="753"/>
      <c r="H151" s="753"/>
      <c r="I151" s="753"/>
      <c r="J151" s="754"/>
      <c r="K151" s="143"/>
      <c r="L151" s="144"/>
      <c r="M151" s="151"/>
      <c r="N151" s="151"/>
      <c r="O151" s="151"/>
      <c r="P151" s="152"/>
      <c r="Q151" s="152"/>
      <c r="R151" s="148"/>
      <c r="S151" s="370"/>
      <c r="T151" s="363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  <c r="IT151" s="147"/>
      <c r="IU151" s="147"/>
      <c r="IV151" s="147"/>
    </row>
    <row r="152" spans="1:2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596"/>
      <c r="T152" s="365"/>
    </row>
    <row r="153" spans="1:20" ht="23.25" customHeight="1">
      <c r="A153" s="682" t="s">
        <v>175</v>
      </c>
      <c r="B153" s="682"/>
      <c r="C153" s="682"/>
      <c r="D153" s="682"/>
      <c r="E153" s="682"/>
      <c r="F153" s="682"/>
      <c r="G153" s="682"/>
      <c r="H153" s="682"/>
      <c r="I153" s="682"/>
      <c r="J153" s="682"/>
      <c r="K153" s="18"/>
      <c r="L153" s="18"/>
      <c r="M153" s="18"/>
      <c r="N153" s="18"/>
      <c r="O153" s="12"/>
      <c r="P153" s="12"/>
      <c r="Q153" s="12"/>
      <c r="R153" s="12"/>
      <c r="S153" s="596"/>
      <c r="T153" s="609"/>
    </row>
    <row r="154" spans="1:20" ht="16.5" customHeight="1">
      <c r="A154" s="682" t="s">
        <v>165</v>
      </c>
      <c r="B154" s="682"/>
      <c r="C154" s="682"/>
      <c r="D154" s="682"/>
      <c r="E154" s="682"/>
      <c r="F154" s="682"/>
      <c r="G154" s="682"/>
      <c r="H154" s="682"/>
      <c r="I154" s="682"/>
      <c r="J154" s="682"/>
      <c r="K154" s="18"/>
      <c r="L154" s="660" t="s">
        <v>497</v>
      </c>
      <c r="M154" s="660"/>
      <c r="N154" s="11"/>
      <c r="O154" s="12"/>
      <c r="P154" s="12"/>
      <c r="Q154" s="12"/>
      <c r="R154" s="12"/>
      <c r="S154" s="596"/>
      <c r="T154" s="609"/>
    </row>
    <row r="155" spans="1:256" ht="18.75" customHeight="1">
      <c r="A155" s="744" t="s">
        <v>516</v>
      </c>
      <c r="B155" s="744"/>
      <c r="C155" s="744"/>
      <c r="D155" s="744"/>
      <c r="E155" s="744"/>
      <c r="F155" s="744"/>
      <c r="G155" s="744"/>
      <c r="H155" s="744"/>
      <c r="I155" s="744"/>
      <c r="J155" s="744"/>
      <c r="K155" s="18"/>
      <c r="L155" s="610"/>
      <c r="M155" s="610"/>
      <c r="N155" s="611" t="s">
        <v>166</v>
      </c>
      <c r="O155" s="610"/>
      <c r="P155" s="610"/>
      <c r="Q155" s="610"/>
      <c r="R155" s="610"/>
      <c r="S155" s="596"/>
      <c r="T155" s="60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  <c r="IU155" s="149"/>
      <c r="IV155" s="149"/>
    </row>
    <row r="156" spans="1:256" ht="12.75">
      <c r="A156" s="740" t="s">
        <v>666</v>
      </c>
      <c r="B156" s="740"/>
      <c r="C156" s="740"/>
      <c r="D156" s="740"/>
      <c r="E156" s="740"/>
      <c r="F156" s="740"/>
      <c r="G156" s="740"/>
      <c r="H156" s="740"/>
      <c r="I156" s="740"/>
      <c r="J156" s="740"/>
      <c r="K156" s="747" t="s">
        <v>167</v>
      </c>
      <c r="L156" s="153" t="s">
        <v>168</v>
      </c>
      <c r="M156" s="612" t="str">
        <f>IF(вывод1="да",_72ч,"")</f>
        <v>В течение одного года пройти обучение по программе повышения квалификации. 
</v>
      </c>
      <c r="N156" s="613" t="s">
        <v>466</v>
      </c>
      <c r="O156" s="610"/>
      <c r="P156" s="610"/>
      <c r="Q156" s="610"/>
      <c r="R156" s="610"/>
      <c r="S156" s="596"/>
      <c r="T156" s="60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  <c r="IR156" s="149"/>
      <c r="IS156" s="149"/>
      <c r="IT156" s="149"/>
      <c r="IU156" s="149"/>
      <c r="IV156" s="149"/>
    </row>
    <row r="157" spans="1:256" ht="15.75" customHeight="1">
      <c r="A157" s="740"/>
      <c r="B157" s="740"/>
      <c r="C157" s="740"/>
      <c r="D157" s="740"/>
      <c r="E157" s="740"/>
      <c r="F157" s="740"/>
      <c r="G157" s="740"/>
      <c r="H157" s="740"/>
      <c r="I157" s="740"/>
      <c r="J157" s="740"/>
      <c r="K157" s="747"/>
      <c r="L157" s="634" t="s">
        <v>743</v>
      </c>
      <c r="M157" s="614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N157" s="613" t="s">
        <v>169</v>
      </c>
      <c r="O157" s="610"/>
      <c r="P157" s="610"/>
      <c r="Q157" s="610"/>
      <c r="R157" s="610"/>
      <c r="S157" s="596"/>
      <c r="T157" s="60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  <c r="IR157" s="149"/>
      <c r="IS157" s="149"/>
      <c r="IT157" s="149"/>
      <c r="IU157" s="149"/>
      <c r="IV157" s="149"/>
    </row>
    <row r="158" spans="1:256" s="12" customFormat="1" ht="3" customHeight="1" hidden="1">
      <c r="A158" s="408"/>
      <c r="B158" s="408"/>
      <c r="C158" s="408"/>
      <c r="D158" s="408"/>
      <c r="E158" s="408"/>
      <c r="F158" s="408"/>
      <c r="G158" s="408"/>
      <c r="H158" s="408"/>
      <c r="I158" s="408"/>
      <c r="J158" s="408"/>
      <c r="K158" s="154"/>
      <c r="L158" s="610"/>
      <c r="M158" s="615"/>
      <c r="N158" s="616"/>
      <c r="O158" s="610"/>
      <c r="P158" s="610"/>
      <c r="Q158" s="610"/>
      <c r="R158" s="610"/>
      <c r="S158" s="596"/>
      <c r="T158" s="60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49"/>
      <c r="IV158" s="149"/>
    </row>
    <row r="159" spans="1:256" ht="12.75" customHeight="1" hidden="1">
      <c r="A159" s="748" t="str">
        <f>O172</f>
        <v> 2) если у педагога нет высшего образования в области дефектологии</v>
      </c>
      <c r="B159" s="748"/>
      <c r="C159" s="748"/>
      <c r="D159" s="748"/>
      <c r="E159" s="748"/>
      <c r="F159" s="748"/>
      <c r="G159" s="748"/>
      <c r="H159" s="748"/>
      <c r="I159" s="748"/>
      <c r="J159" s="748"/>
      <c r="K159" s="155"/>
      <c r="L159" s="654"/>
      <c r="M159" s="654"/>
      <c r="N159" s="654"/>
      <c r="O159" s="610"/>
      <c r="P159" s="610"/>
      <c r="Q159" s="610"/>
      <c r="R159" s="610"/>
      <c r="S159" s="596"/>
      <c r="T159" s="60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149"/>
      <c r="IV159" s="149"/>
    </row>
    <row r="160" spans="1:256" ht="15.75" customHeight="1" hidden="1">
      <c r="A160" s="748"/>
      <c r="B160" s="748"/>
      <c r="C160" s="748"/>
      <c r="D160" s="748"/>
      <c r="E160" s="748"/>
      <c r="F160" s="748"/>
      <c r="G160" s="748"/>
      <c r="H160" s="748"/>
      <c r="I160" s="748"/>
      <c r="J160" s="748"/>
      <c r="K160" s="155"/>
      <c r="L160" s="654"/>
      <c r="M160" s="654"/>
      <c r="N160" s="654"/>
      <c r="O160" s="610"/>
      <c r="P160" s="610"/>
      <c r="Q160" s="610"/>
      <c r="R160" s="610"/>
      <c r="S160" s="596"/>
      <c r="T160" s="60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  <c r="IR160" s="149"/>
      <c r="IS160" s="149"/>
      <c r="IT160" s="149"/>
      <c r="IU160" s="149"/>
      <c r="IV160" s="149"/>
    </row>
    <row r="161" spans="1:256" ht="12.75">
      <c r="A161" s="748"/>
      <c r="B161" s="748"/>
      <c r="C161" s="748"/>
      <c r="D161" s="748"/>
      <c r="E161" s="748"/>
      <c r="F161" s="748"/>
      <c r="G161" s="748"/>
      <c r="H161" s="748"/>
      <c r="I161" s="748"/>
      <c r="J161" s="748"/>
      <c r="K161" s="155"/>
      <c r="L161" s="654"/>
      <c r="M161" s="654"/>
      <c r="N161" s="654"/>
      <c r="O161" s="610"/>
      <c r="P161" s="610"/>
      <c r="Q161" s="610"/>
      <c r="R161" s="610"/>
      <c r="S161" s="596"/>
      <c r="T161" s="60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  <c r="IE161" s="149"/>
      <c r="IF161" s="149"/>
      <c r="IG161" s="149"/>
      <c r="IH161" s="149"/>
      <c r="II161" s="149"/>
      <c r="IJ161" s="149"/>
      <c r="IK161" s="149"/>
      <c r="IL161" s="149"/>
      <c r="IM161" s="149"/>
      <c r="IN161" s="149"/>
      <c r="IO161" s="149"/>
      <c r="IP161" s="149"/>
      <c r="IQ161" s="149"/>
      <c r="IR161" s="149"/>
      <c r="IS161" s="149"/>
      <c r="IT161" s="149"/>
      <c r="IU161" s="149"/>
      <c r="IV161" s="149"/>
    </row>
    <row r="162" spans="1:256" ht="3" customHeight="1">
      <c r="A162" s="748"/>
      <c r="B162" s="748"/>
      <c r="C162" s="748"/>
      <c r="D162" s="748"/>
      <c r="E162" s="748"/>
      <c r="F162" s="748"/>
      <c r="G162" s="748"/>
      <c r="H162" s="748"/>
      <c r="I162" s="748"/>
      <c r="J162" s="748"/>
      <c r="K162" s="155"/>
      <c r="L162" s="610"/>
      <c r="M162" s="610"/>
      <c r="N162" s="616"/>
      <c r="O162" s="610"/>
      <c r="P162" s="610"/>
      <c r="Q162" s="610"/>
      <c r="R162" s="610"/>
      <c r="S162" s="596"/>
      <c r="T162" s="60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  <c r="IO162" s="149"/>
      <c r="IP162" s="149"/>
      <c r="IQ162" s="149"/>
      <c r="IR162" s="149"/>
      <c r="IS162" s="149"/>
      <c r="IT162" s="149"/>
      <c r="IU162" s="149"/>
      <c r="IV162" s="149"/>
    </row>
    <row r="163" spans="1:20" ht="26.25" customHeight="1">
      <c r="A163" s="757" t="str">
        <f>N172</f>
        <v>Получить  высшее профессиональное образование в области дефектологии</v>
      </c>
      <c r="B163" s="757"/>
      <c r="C163" s="757"/>
      <c r="D163" s="757"/>
      <c r="E163" s="757"/>
      <c r="F163" s="757"/>
      <c r="G163" s="757"/>
      <c r="H163" s="757"/>
      <c r="I163" s="757"/>
      <c r="J163" s="757"/>
      <c r="K163" s="760" t="s">
        <v>171</v>
      </c>
      <c r="L163" s="617" t="s">
        <v>172</v>
      </c>
      <c r="M163" s="103" t="s">
        <v>169</v>
      </c>
      <c r="N163" s="11"/>
      <c r="O163" s="12"/>
      <c r="P163" s="12"/>
      <c r="Q163" s="12"/>
      <c r="R163" s="12"/>
      <c r="S163" s="596"/>
      <c r="T163" s="609"/>
    </row>
    <row r="164" spans="1:20" ht="6.75" customHeight="1" hidden="1">
      <c r="A164" s="744" t="str">
        <f>Q172</f>
        <v> ---</v>
      </c>
      <c r="B164" s="744" t="s">
        <v>173</v>
      </c>
      <c r="C164" s="744"/>
      <c r="D164" s="744"/>
      <c r="E164" s="744"/>
      <c r="F164" s="744"/>
      <c r="G164" s="744"/>
      <c r="H164" s="744"/>
      <c r="I164" s="744"/>
      <c r="J164" s="744"/>
      <c r="K164" s="760"/>
      <c r="L164" s="595"/>
      <c r="M164" s="10"/>
      <c r="N164" s="11"/>
      <c r="O164" s="12"/>
      <c r="P164" s="12"/>
      <c r="Q164" s="12"/>
      <c r="R164" s="12"/>
      <c r="S164" s="596"/>
      <c r="T164" s="609"/>
    </row>
    <row r="165" spans="1:256" ht="3" customHeight="1" hidden="1">
      <c r="A165" s="757">
        <f>IF(A164=" ---","",P172)</f>
      </c>
      <c r="B165" s="757"/>
      <c r="C165" s="757"/>
      <c r="D165" s="757"/>
      <c r="E165" s="757"/>
      <c r="F165" s="757"/>
      <c r="G165" s="757"/>
      <c r="H165" s="757"/>
      <c r="I165" s="757"/>
      <c r="J165" s="757"/>
      <c r="K165" s="102" t="s">
        <v>174</v>
      </c>
      <c r="L165" s="595"/>
      <c r="M165" s="10"/>
      <c r="N165" s="11"/>
      <c r="O165" s="12"/>
      <c r="P165" s="12"/>
      <c r="Q165" s="12"/>
      <c r="R165" s="12"/>
      <c r="S165" s="596"/>
      <c r="T165" s="609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595"/>
      <c r="M166" s="10"/>
      <c r="N166" s="11"/>
      <c r="O166" s="12"/>
      <c r="P166" s="12"/>
      <c r="Q166" s="12"/>
      <c r="R166" s="12"/>
      <c r="S166" s="596"/>
      <c r="T166" s="609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95"/>
      <c r="M167" s="10"/>
      <c r="N167" s="11"/>
      <c r="O167" s="12"/>
      <c r="P167" s="12"/>
      <c r="Q167" s="12"/>
      <c r="R167" s="12"/>
      <c r="S167" s="596"/>
      <c r="T167" s="609"/>
    </row>
    <row r="168" spans="1:20" ht="16.5" customHeight="1">
      <c r="A168" s="682" t="s">
        <v>515</v>
      </c>
      <c r="B168" s="682"/>
      <c r="C168" s="682"/>
      <c r="D168" s="682"/>
      <c r="E168" s="682"/>
      <c r="F168" s="682"/>
      <c r="G168" s="682"/>
      <c r="H168" s="682"/>
      <c r="I168" s="682"/>
      <c r="J168" s="682"/>
      <c r="K168" s="18" t="s">
        <v>513</v>
      </c>
      <c r="L168" s="595"/>
      <c r="M168" s="10"/>
      <c r="N168" s="11"/>
      <c r="O168" s="12"/>
      <c r="P168" s="12"/>
      <c r="Q168" s="12"/>
      <c r="R168" s="12"/>
      <c r="S168" s="596"/>
      <c r="T168" s="609"/>
    </row>
    <row r="169" spans="1:256" ht="17.25" customHeight="1">
      <c r="A169" s="745" t="s">
        <v>514</v>
      </c>
      <c r="B169" s="745"/>
      <c r="C169" s="745"/>
      <c r="D169" s="745"/>
      <c r="E169" s="745"/>
      <c r="F169" s="745"/>
      <c r="G169" s="745"/>
      <c r="H169" s="745"/>
      <c r="I169" s="745"/>
      <c r="J169" s="745"/>
      <c r="K169" s="140" t="str">
        <f>T2</f>
        <v># 6</v>
      </c>
      <c r="L169" s="12"/>
      <c r="M169" s="12"/>
      <c r="N169" s="12"/>
      <c r="O169" s="12"/>
      <c r="P169" s="12"/>
      <c r="Q169" s="12"/>
      <c r="R169" s="12"/>
      <c r="S169" s="596"/>
      <c r="T169" s="609"/>
      <c r="U169" s="370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18"/>
      <c r="B170" s="210"/>
      <c r="C170" s="209"/>
      <c r="D170" s="209"/>
      <c r="E170" s="209"/>
      <c r="F170" s="209"/>
      <c r="G170" s="209"/>
      <c r="H170" s="209"/>
      <c r="I170" s="209"/>
      <c r="J170" s="209"/>
      <c r="K170" s="619">
        <v>1</v>
      </c>
      <c r="L170" s="619">
        <v>2</v>
      </c>
      <c r="M170" s="619">
        <v>3</v>
      </c>
      <c r="N170" s="619">
        <v>4</v>
      </c>
      <c r="O170" s="619">
        <v>5</v>
      </c>
      <c r="P170" s="619">
        <v>6</v>
      </c>
      <c r="Q170" s="619">
        <v>7</v>
      </c>
      <c r="R170" s="619">
        <v>8</v>
      </c>
      <c r="S170" s="619">
        <v>9</v>
      </c>
      <c r="T170" s="609"/>
    </row>
    <row r="171" spans="1:20" ht="21" customHeight="1">
      <c r="A171" s="632" t="s">
        <v>12</v>
      </c>
      <c r="B171" s="681" t="s">
        <v>176</v>
      </c>
      <c r="C171" s="681"/>
      <c r="D171" s="681"/>
      <c r="E171" s="681"/>
      <c r="F171" s="681"/>
      <c r="G171" s="681"/>
      <c r="H171" s="681"/>
      <c r="I171" s="681"/>
      <c r="J171" s="681"/>
      <c r="K171" s="620" t="s">
        <v>661</v>
      </c>
      <c r="L171" s="621" t="s">
        <v>498</v>
      </c>
      <c r="M171" s="621" t="s">
        <v>499</v>
      </c>
      <c r="N171" s="622" t="s">
        <v>459</v>
      </c>
      <c r="O171" s="623" t="s">
        <v>523</v>
      </c>
      <c r="P171" s="622" t="s">
        <v>460</v>
      </c>
      <c r="Q171" s="195"/>
      <c r="R171" s="195"/>
      <c r="S171" s="621" t="s">
        <v>176</v>
      </c>
      <c r="T171" s="609"/>
    </row>
    <row r="172" spans="1:20" ht="104.25" customHeight="1">
      <c r="A172" s="633" t="str">
        <f>R172</f>
        <v>Учитель-дефектолог, учитель-логопед (логопед) *</v>
      </c>
      <c r="B172" s="680" t="str">
        <f>S172</f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C172" s="680"/>
      <c r="D172" s="680"/>
      <c r="E172" s="680"/>
      <c r="F172" s="680"/>
      <c r="G172" s="680"/>
      <c r="H172" s="680"/>
      <c r="I172" s="680"/>
      <c r="J172" s="680"/>
      <c r="K172" s="577" t="str">
        <f>IF(долж_ОС="учитель","учитель",долж_ОС)</f>
        <v>учитель-логопед</v>
      </c>
      <c r="L172" s="624" t="str">
        <f>VLOOKUP($K$172,$K$175:$S$204,L170)</f>
        <v>Наличие/получение  высшего профессионального образования в области дефектологии</v>
      </c>
      <c r="M172" s="624" t="str">
        <f aca="true" t="shared" si="1" ref="M172:S172">VLOOKUP($K$172,$K$175:$S$204,M170)</f>
        <v> ---</v>
      </c>
      <c r="N172" s="625" t="str">
        <f t="shared" si="1"/>
        <v>Получить  высшее профессиональное образование в области дефектологии</v>
      </c>
      <c r="O172" s="626" t="str">
        <f t="shared" si="1"/>
        <v> 2) если у педагога нет высшего образования в области дефектологии</v>
      </c>
      <c r="P172" s="627" t="str">
        <f t="shared" si="1"/>
        <v> ---</v>
      </c>
      <c r="Q172" s="626" t="str">
        <f t="shared" si="1"/>
        <v> ---</v>
      </c>
      <c r="R172" s="628" t="str">
        <f t="shared" si="1"/>
        <v>Учитель-дефектолог, учитель-логопед (логопед) *</v>
      </c>
      <c r="S172" s="628" t="str">
        <f t="shared" si="1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2" s="609"/>
    </row>
    <row r="173" spans="1:20" ht="12.75">
      <c r="A173" s="756" t="s">
        <v>603</v>
      </c>
      <c r="B173" s="756"/>
      <c r="C173" s="756"/>
      <c r="D173" s="756"/>
      <c r="E173" s="756"/>
      <c r="F173" s="756"/>
      <c r="G173" s="756"/>
      <c r="H173" s="756"/>
      <c r="I173" s="756"/>
      <c r="J173" s="756"/>
      <c r="K173" s="629"/>
      <c r="L173" s="419"/>
      <c r="M173" s="419"/>
      <c r="N173" s="630"/>
      <c r="O173" s="631"/>
      <c r="P173" s="631"/>
      <c r="Q173" s="12"/>
      <c r="R173" s="425"/>
      <c r="S173" s="12"/>
      <c r="T173" s="609"/>
    </row>
    <row r="174" spans="11:14" ht="12.75">
      <c r="K174" s="5"/>
      <c r="L174" s="5"/>
      <c r="M174" s="5"/>
      <c r="N174" s="5"/>
    </row>
    <row r="175" spans="1:20" ht="216.75" hidden="1">
      <c r="A175" s="416"/>
      <c r="B175" s="417"/>
      <c r="C175" s="417"/>
      <c r="D175" s="417"/>
      <c r="E175" s="417"/>
      <c r="F175" s="417"/>
      <c r="G175" s="417"/>
      <c r="H175" s="417"/>
      <c r="I175" s="417"/>
      <c r="J175" s="584"/>
      <c r="K175" s="428" t="s">
        <v>121</v>
      </c>
      <c r="L175" s="409" t="s">
        <v>42</v>
      </c>
      <c r="M175" s="409" t="s">
        <v>520</v>
      </c>
      <c r="N175" s="360" t="s">
        <v>170</v>
      </c>
      <c r="O175" s="410" t="s">
        <v>521</v>
      </c>
      <c r="P175" s="409" t="s">
        <v>520</v>
      </c>
      <c r="Q175" s="409" t="s">
        <v>520</v>
      </c>
      <c r="R175" s="427" t="s">
        <v>606</v>
      </c>
      <c r="S175" s="424" t="s">
        <v>522</v>
      </c>
      <c r="T175" s="370"/>
    </row>
    <row r="176" spans="1:20" ht="127.5" hidden="1">
      <c r="A176" s="416"/>
      <c r="B176" s="417"/>
      <c r="C176" s="417"/>
      <c r="D176" s="417"/>
      <c r="E176" s="417"/>
      <c r="F176" s="417"/>
      <c r="G176" s="417"/>
      <c r="H176" s="417"/>
      <c r="I176" s="417"/>
      <c r="J176" s="585" t="s">
        <v>589</v>
      </c>
      <c r="K176" s="588" t="s">
        <v>123</v>
      </c>
      <c r="L176" s="583" t="str">
        <f>L202</f>
        <v>Наличие/получение  высшего профессионального образования в области дефектологии</v>
      </c>
      <c r="M176" s="583" t="str">
        <f aca="true" t="shared" si="2" ref="M176:S176">M202</f>
        <v> ---</v>
      </c>
      <c r="N176" s="583" t="str">
        <f t="shared" si="2"/>
        <v>Получить  высшее профессиональное образование в области дефектологии</v>
      </c>
      <c r="O176" s="583" t="str">
        <f t="shared" si="2"/>
        <v> 2) если у педагога нет высшего образования в области дефектологии</v>
      </c>
      <c r="P176" s="583" t="str">
        <f t="shared" si="2"/>
        <v> ---</v>
      </c>
      <c r="Q176" s="583" t="str">
        <f t="shared" si="2"/>
        <v> ---</v>
      </c>
      <c r="R176" s="583" t="str">
        <f t="shared" si="2"/>
        <v>Учитель-дефектолог, учитель-логопед (логопед) *</v>
      </c>
      <c r="S176" s="583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70"/>
    </row>
    <row r="177" spans="1:20" ht="51" hidden="1">
      <c r="A177" s="416"/>
      <c r="B177" s="417"/>
      <c r="C177" s="417"/>
      <c r="D177" s="417"/>
      <c r="E177" s="417"/>
      <c r="F177" s="417"/>
      <c r="G177" s="417"/>
      <c r="H177" s="417"/>
      <c r="I177" s="417"/>
      <c r="J177" s="584"/>
      <c r="K177" s="428" t="s">
        <v>125</v>
      </c>
      <c r="L177" s="409" t="s">
        <v>597</v>
      </c>
      <c r="M177" s="409" t="s">
        <v>520</v>
      </c>
      <c r="N177" s="360" t="s">
        <v>594</v>
      </c>
      <c r="O177" s="410" t="s">
        <v>593</v>
      </c>
      <c r="P177" s="409" t="s">
        <v>520</v>
      </c>
      <c r="Q177" s="409" t="s">
        <v>520</v>
      </c>
      <c r="R177" s="427" t="s">
        <v>596</v>
      </c>
      <c r="S177" s="424" t="s">
        <v>595</v>
      </c>
      <c r="T177" s="370"/>
    </row>
    <row r="178" spans="1:20" ht="180" hidden="1">
      <c r="A178" s="416"/>
      <c r="B178" s="417"/>
      <c r="C178" s="417"/>
      <c r="D178" s="417"/>
      <c r="E178" s="417"/>
      <c r="F178" s="417"/>
      <c r="G178" s="417"/>
      <c r="H178" s="417"/>
      <c r="I178" s="417"/>
      <c r="J178" s="584"/>
      <c r="K178" s="428" t="s">
        <v>127</v>
      </c>
      <c r="L178" s="409" t="s">
        <v>581</v>
      </c>
      <c r="M178" s="409" t="s">
        <v>520</v>
      </c>
      <c r="N178" s="360" t="s">
        <v>582</v>
      </c>
      <c r="O178" s="410" t="s">
        <v>583</v>
      </c>
      <c r="P178" s="409" t="s">
        <v>520</v>
      </c>
      <c r="Q178" s="409" t="s">
        <v>520</v>
      </c>
      <c r="R178" s="427" t="s">
        <v>584</v>
      </c>
      <c r="S178" s="424" t="s">
        <v>585</v>
      </c>
      <c r="T178" s="370"/>
    </row>
    <row r="179" spans="1:20" ht="180" hidden="1">
      <c r="A179" s="416"/>
      <c r="B179" s="417"/>
      <c r="C179" s="417"/>
      <c r="D179" s="417"/>
      <c r="E179" s="417"/>
      <c r="F179" s="417"/>
      <c r="G179" s="417"/>
      <c r="H179" s="417"/>
      <c r="I179" s="417"/>
      <c r="J179" s="584"/>
      <c r="K179" s="428" t="s">
        <v>129</v>
      </c>
      <c r="L179" s="409" t="s">
        <v>602</v>
      </c>
      <c r="M179" s="409" t="s">
        <v>520</v>
      </c>
      <c r="N179" s="360" t="s">
        <v>599</v>
      </c>
      <c r="O179" s="410" t="s">
        <v>598</v>
      </c>
      <c r="P179" s="409" t="s">
        <v>520</v>
      </c>
      <c r="Q179" s="409" t="s">
        <v>520</v>
      </c>
      <c r="R179" s="427" t="s">
        <v>601</v>
      </c>
      <c r="S179" s="424" t="s">
        <v>600</v>
      </c>
      <c r="T179" s="370"/>
    </row>
    <row r="180" spans="1:20" ht="89.25" hidden="1">
      <c r="A180" s="416"/>
      <c r="B180" s="417"/>
      <c r="C180" s="417"/>
      <c r="D180" s="417"/>
      <c r="E180" s="417"/>
      <c r="F180" s="417"/>
      <c r="G180" s="417"/>
      <c r="H180" s="417"/>
      <c r="I180" s="417"/>
      <c r="J180" s="584"/>
      <c r="K180" s="428" t="s">
        <v>131</v>
      </c>
      <c r="L180" s="409" t="s">
        <v>638</v>
      </c>
      <c r="M180" s="409" t="s">
        <v>520</v>
      </c>
      <c r="N180" s="360" t="s">
        <v>640</v>
      </c>
      <c r="O180" s="410" t="s">
        <v>639</v>
      </c>
      <c r="P180" s="409" t="s">
        <v>520</v>
      </c>
      <c r="Q180" s="409" t="s">
        <v>520</v>
      </c>
      <c r="R180" s="427" t="s">
        <v>615</v>
      </c>
      <c r="S180" s="424" t="s">
        <v>641</v>
      </c>
      <c r="T180" s="370"/>
    </row>
    <row r="181" spans="1:20" ht="127.5" hidden="1">
      <c r="A181" s="416"/>
      <c r="B181" s="417"/>
      <c r="C181" s="417"/>
      <c r="D181" s="417"/>
      <c r="E181" s="417"/>
      <c r="F181" s="417"/>
      <c r="G181" s="417"/>
      <c r="H181" s="417"/>
      <c r="I181" s="417"/>
      <c r="J181" s="585" t="s">
        <v>589</v>
      </c>
      <c r="K181" s="587" t="s">
        <v>133</v>
      </c>
      <c r="L181" s="583" t="str">
        <f>L202</f>
        <v>Наличие/получение  высшего профессионального образования в области дефектологии</v>
      </c>
      <c r="M181" s="583" t="str">
        <f aca="true" t="shared" si="3" ref="M181:S181">M202</f>
        <v> ---</v>
      </c>
      <c r="N181" s="583" t="str">
        <f t="shared" si="3"/>
        <v>Получить  высшее профессиональное образование в области дефектологии</v>
      </c>
      <c r="O181" s="583" t="str">
        <f t="shared" si="3"/>
        <v> 2) если у педагога нет высшего образования в области дефектологии</v>
      </c>
      <c r="P181" s="583" t="str">
        <f t="shared" si="3"/>
        <v> ---</v>
      </c>
      <c r="Q181" s="583" t="str">
        <f t="shared" si="3"/>
        <v> ---</v>
      </c>
      <c r="R181" s="583" t="str">
        <f t="shared" si="3"/>
        <v>Учитель-дефектолог, учитель-логопед (логопед) *</v>
      </c>
      <c r="S181" s="583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0"/>
    </row>
    <row r="182" spans="1:20" ht="191.25" hidden="1">
      <c r="A182" s="418"/>
      <c r="B182" s="418"/>
      <c r="C182" s="418"/>
      <c r="D182" s="418"/>
      <c r="E182" s="418"/>
      <c r="F182" s="418"/>
      <c r="G182" s="418"/>
      <c r="H182" s="418"/>
      <c r="I182" s="417"/>
      <c r="J182" s="584"/>
      <c r="K182" s="428" t="s">
        <v>135</v>
      </c>
      <c r="L182" s="409" t="s">
        <v>500</v>
      </c>
      <c r="M182" s="409" t="s">
        <v>501</v>
      </c>
      <c r="N182" s="360" t="s">
        <v>170</v>
      </c>
      <c r="O182" s="410" t="s">
        <v>502</v>
      </c>
      <c r="P182" s="360" t="s">
        <v>503</v>
      </c>
      <c r="Q182" s="409" t="s">
        <v>520</v>
      </c>
      <c r="R182" s="427" t="s">
        <v>623</v>
      </c>
      <c r="S182" s="424" t="s">
        <v>505</v>
      </c>
      <c r="T182" s="370"/>
    </row>
    <row r="183" spans="1:20" ht="90" hidden="1">
      <c r="A183" s="416"/>
      <c r="B183" s="417"/>
      <c r="C183" s="417"/>
      <c r="D183" s="417"/>
      <c r="E183" s="417"/>
      <c r="F183" s="417"/>
      <c r="G183" s="417"/>
      <c r="H183" s="417"/>
      <c r="I183" s="417"/>
      <c r="J183" s="590" t="s">
        <v>630</v>
      </c>
      <c r="K183" s="428" t="s">
        <v>136</v>
      </c>
      <c r="L183" s="409" t="s">
        <v>628</v>
      </c>
      <c r="M183" s="409" t="s">
        <v>520</v>
      </c>
      <c r="N183" s="360" t="s">
        <v>627</v>
      </c>
      <c r="O183" s="410" t="s">
        <v>626</v>
      </c>
      <c r="P183" s="409" t="s">
        <v>520</v>
      </c>
      <c r="Q183" s="409" t="s">
        <v>520</v>
      </c>
      <c r="R183" s="427" t="s">
        <v>617</v>
      </c>
      <c r="S183" s="424" t="s">
        <v>618</v>
      </c>
      <c r="T183" s="370"/>
    </row>
    <row r="184" spans="1:20" ht="114.75" hidden="1">
      <c r="A184" s="416"/>
      <c r="B184" s="417"/>
      <c r="C184" s="417"/>
      <c r="D184" s="417"/>
      <c r="E184" s="417"/>
      <c r="F184" s="417"/>
      <c r="G184" s="417"/>
      <c r="H184" s="417"/>
      <c r="I184" s="417"/>
      <c r="J184" s="584"/>
      <c r="K184" s="428" t="s">
        <v>138</v>
      </c>
      <c r="L184" s="409" t="s">
        <v>42</v>
      </c>
      <c r="M184" s="409" t="s">
        <v>558</v>
      </c>
      <c r="N184" s="360" t="s">
        <v>667</v>
      </c>
      <c r="O184" s="410" t="s">
        <v>559</v>
      </c>
      <c r="P184" s="360" t="s">
        <v>560</v>
      </c>
      <c r="Q184" s="410" t="s">
        <v>561</v>
      </c>
      <c r="R184" s="427" t="s">
        <v>562</v>
      </c>
      <c r="S184" s="424" t="s">
        <v>563</v>
      </c>
      <c r="T184" s="370"/>
    </row>
    <row r="185" spans="1:20" ht="236.25" hidden="1">
      <c r="A185" s="416"/>
      <c r="B185" s="417"/>
      <c r="C185" s="417"/>
      <c r="D185" s="417"/>
      <c r="E185" s="417"/>
      <c r="F185" s="417"/>
      <c r="G185" s="417"/>
      <c r="H185" s="417"/>
      <c r="I185" s="417"/>
      <c r="J185" s="584"/>
      <c r="K185" s="428" t="s">
        <v>141</v>
      </c>
      <c r="L185" s="409" t="s">
        <v>634</v>
      </c>
      <c r="M185" s="409" t="s">
        <v>635</v>
      </c>
      <c r="N185" s="360" t="s">
        <v>637</v>
      </c>
      <c r="O185" s="410" t="s">
        <v>636</v>
      </c>
      <c r="P185" s="409" t="s">
        <v>520</v>
      </c>
      <c r="Q185" s="409" t="s">
        <v>520</v>
      </c>
      <c r="R185" s="427" t="s">
        <v>613</v>
      </c>
      <c r="S185" s="424" t="s">
        <v>614</v>
      </c>
      <c r="T185" s="370"/>
    </row>
    <row r="186" spans="1:20" ht="127.5" hidden="1">
      <c r="A186" s="416"/>
      <c r="B186" s="417"/>
      <c r="C186" s="417"/>
      <c r="D186" s="417"/>
      <c r="E186" s="417"/>
      <c r="F186" s="417"/>
      <c r="G186" s="417"/>
      <c r="H186" s="417"/>
      <c r="I186" s="417"/>
      <c r="J186" s="584"/>
      <c r="K186" s="428" t="s">
        <v>333</v>
      </c>
      <c r="L186" s="409" t="s">
        <v>650</v>
      </c>
      <c r="M186" s="409" t="s">
        <v>520</v>
      </c>
      <c r="N186" s="360" t="s">
        <v>651</v>
      </c>
      <c r="O186" s="410" t="s">
        <v>649</v>
      </c>
      <c r="P186" s="409" t="s">
        <v>520</v>
      </c>
      <c r="Q186" s="409" t="s">
        <v>520</v>
      </c>
      <c r="R186" s="427" t="s">
        <v>610</v>
      </c>
      <c r="S186" s="424" t="s">
        <v>611</v>
      </c>
      <c r="T186" s="370"/>
    </row>
    <row r="187" spans="1:256" ht="180" hidden="1">
      <c r="A187" s="416"/>
      <c r="B187" s="417"/>
      <c r="C187" s="417"/>
      <c r="D187" s="417"/>
      <c r="E187" s="417"/>
      <c r="F187" s="417"/>
      <c r="G187" s="417"/>
      <c r="H187" s="417"/>
      <c r="I187" s="417"/>
      <c r="J187" s="584"/>
      <c r="K187" s="428" t="s">
        <v>143</v>
      </c>
      <c r="L187" s="409" t="s">
        <v>42</v>
      </c>
      <c r="M187" s="409" t="s">
        <v>575</v>
      </c>
      <c r="N187" s="360" t="s">
        <v>170</v>
      </c>
      <c r="O187" s="410" t="s">
        <v>571</v>
      </c>
      <c r="P187" s="409" t="s">
        <v>520</v>
      </c>
      <c r="Q187" s="409" t="s">
        <v>520</v>
      </c>
      <c r="R187" s="427" t="s">
        <v>573</v>
      </c>
      <c r="S187" s="424" t="s">
        <v>574</v>
      </c>
      <c r="T187" s="370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  <c r="HW187" s="147"/>
      <c r="HX187" s="147"/>
      <c r="HY187" s="147"/>
      <c r="HZ187" s="147"/>
      <c r="IA187" s="147"/>
      <c r="IB187" s="147"/>
      <c r="IC187" s="147"/>
      <c r="ID187" s="147"/>
      <c r="IE187" s="147"/>
      <c r="IF187" s="147"/>
      <c r="IG187" s="147"/>
      <c r="IH187" s="147"/>
      <c r="II187" s="147"/>
      <c r="IJ187" s="147"/>
      <c r="IK187" s="147"/>
      <c r="IL187" s="147"/>
      <c r="IM187" s="147"/>
      <c r="IN187" s="147"/>
      <c r="IO187" s="147"/>
      <c r="IP187" s="147"/>
      <c r="IQ187" s="147"/>
      <c r="IR187" s="147"/>
      <c r="IS187" s="147"/>
      <c r="IT187" s="147"/>
      <c r="IU187" s="147"/>
      <c r="IV187" s="147"/>
    </row>
    <row r="188" spans="1:20" ht="165.75" hidden="1">
      <c r="A188" s="416"/>
      <c r="B188" s="417"/>
      <c r="C188" s="417"/>
      <c r="D188" s="417"/>
      <c r="E188" s="417"/>
      <c r="F188" s="417"/>
      <c r="G188" s="417"/>
      <c r="H188" s="419"/>
      <c r="I188" s="419"/>
      <c r="J188" s="584"/>
      <c r="K188" s="428" t="s">
        <v>145</v>
      </c>
      <c r="L188" s="409" t="s">
        <v>580</v>
      </c>
      <c r="M188" s="409" t="s">
        <v>520</v>
      </c>
      <c r="N188" s="360" t="s">
        <v>577</v>
      </c>
      <c r="O188" s="410" t="s">
        <v>576</v>
      </c>
      <c r="P188" s="360"/>
      <c r="Q188" s="410"/>
      <c r="R188" s="427" t="s">
        <v>578</v>
      </c>
      <c r="S188" s="424" t="s">
        <v>579</v>
      </c>
      <c r="T188" s="370"/>
    </row>
    <row r="189" spans="1:20" ht="191.25" hidden="1">
      <c r="A189" s="416"/>
      <c r="B189" s="417"/>
      <c r="C189" s="417"/>
      <c r="D189" s="417"/>
      <c r="E189" s="417"/>
      <c r="F189" s="417"/>
      <c r="G189" s="417"/>
      <c r="H189" s="419"/>
      <c r="I189" s="419"/>
      <c r="J189" s="585" t="s">
        <v>590</v>
      </c>
      <c r="K189" s="428" t="s">
        <v>147</v>
      </c>
      <c r="L189" s="409" t="s">
        <v>42</v>
      </c>
      <c r="M189" s="409" t="s">
        <v>44</v>
      </c>
      <c r="N189" s="360" t="s">
        <v>170</v>
      </c>
      <c r="O189" s="410" t="s">
        <v>572</v>
      </c>
      <c r="P189" s="409" t="s">
        <v>520</v>
      </c>
      <c r="Q189" s="409" t="s">
        <v>520</v>
      </c>
      <c r="R189" s="427" t="s">
        <v>624</v>
      </c>
      <c r="S189" s="424" t="s">
        <v>504</v>
      </c>
      <c r="T189" s="370"/>
    </row>
    <row r="190" spans="1:20" ht="178.5" hidden="1">
      <c r="A190" s="416"/>
      <c r="B190" s="417"/>
      <c r="C190" s="417"/>
      <c r="D190" s="417"/>
      <c r="E190" s="417"/>
      <c r="F190" s="417"/>
      <c r="G190" s="417"/>
      <c r="H190" s="419"/>
      <c r="I190" s="419"/>
      <c r="J190" s="584"/>
      <c r="K190" s="428" t="s">
        <v>512</v>
      </c>
      <c r="L190" s="409"/>
      <c r="M190" s="409"/>
      <c r="N190" s="360"/>
      <c r="O190" s="410"/>
      <c r="P190" s="360"/>
      <c r="Q190" s="410"/>
      <c r="R190" s="427" t="s">
        <v>619</v>
      </c>
      <c r="S190" s="424" t="s">
        <v>620</v>
      </c>
      <c r="T190" s="370"/>
    </row>
    <row r="191" spans="1:20" ht="236.25" hidden="1">
      <c r="A191" s="416"/>
      <c r="B191" s="417"/>
      <c r="C191" s="417"/>
      <c r="D191" s="417"/>
      <c r="E191" s="417"/>
      <c r="F191" s="417"/>
      <c r="G191" s="417"/>
      <c r="H191" s="419"/>
      <c r="I191" s="419"/>
      <c r="J191" s="584"/>
      <c r="K191" s="428" t="s">
        <v>331</v>
      </c>
      <c r="L191" s="409" t="s">
        <v>642</v>
      </c>
      <c r="M191" s="409" t="s">
        <v>520</v>
      </c>
      <c r="N191" s="360" t="s">
        <v>582</v>
      </c>
      <c r="O191" s="410" t="s">
        <v>647</v>
      </c>
      <c r="P191" s="409" t="s">
        <v>520</v>
      </c>
      <c r="Q191" s="409" t="s">
        <v>520</v>
      </c>
      <c r="R191" s="427" t="s">
        <v>616</v>
      </c>
      <c r="S191" s="424" t="s">
        <v>643</v>
      </c>
      <c r="T191" s="370"/>
    </row>
    <row r="192" spans="1:20" ht="127.5" hidden="1">
      <c r="A192" s="416"/>
      <c r="B192" s="417"/>
      <c r="C192" s="417"/>
      <c r="D192" s="417"/>
      <c r="E192" s="417"/>
      <c r="F192" s="417"/>
      <c r="G192" s="417"/>
      <c r="H192" s="419"/>
      <c r="I192" s="419"/>
      <c r="J192" s="584"/>
      <c r="K192" s="428" t="s">
        <v>150</v>
      </c>
      <c r="L192" s="409" t="s">
        <v>644</v>
      </c>
      <c r="M192" s="591" t="s">
        <v>648</v>
      </c>
      <c r="N192" s="360" t="s">
        <v>646</v>
      </c>
      <c r="O192" s="410" t="s">
        <v>645</v>
      </c>
      <c r="P192" s="360"/>
      <c r="Q192" s="410"/>
      <c r="R192" s="427" t="s">
        <v>607</v>
      </c>
      <c r="S192" s="424" t="s">
        <v>604</v>
      </c>
      <c r="T192" s="370"/>
    </row>
    <row r="193" spans="1:20" ht="38.25" hidden="1">
      <c r="A193" s="416"/>
      <c r="B193" s="417"/>
      <c r="C193" s="417"/>
      <c r="D193" s="417"/>
      <c r="E193" s="417"/>
      <c r="F193" s="417"/>
      <c r="G193" s="417"/>
      <c r="H193" s="419"/>
      <c r="I193" s="419"/>
      <c r="J193" s="584"/>
      <c r="K193" s="428" t="s">
        <v>152</v>
      </c>
      <c r="L193" s="409"/>
      <c r="M193" s="409"/>
      <c r="N193" s="360"/>
      <c r="O193" s="410"/>
      <c r="P193" s="360"/>
      <c r="Q193" s="410"/>
      <c r="R193" s="427" t="s">
        <v>612</v>
      </c>
      <c r="S193" s="424" t="s">
        <v>595</v>
      </c>
      <c r="T193" s="370"/>
    </row>
    <row r="194" spans="1:20" ht="216.75" hidden="1">
      <c r="A194" s="416"/>
      <c r="B194" s="417"/>
      <c r="C194" s="417"/>
      <c r="D194" s="417"/>
      <c r="E194" s="417"/>
      <c r="F194" s="417"/>
      <c r="G194" s="417"/>
      <c r="H194" s="419"/>
      <c r="I194" s="419"/>
      <c r="J194" s="590" t="s">
        <v>629</v>
      </c>
      <c r="K194" s="589" t="s">
        <v>154</v>
      </c>
      <c r="L194" s="409" t="s">
        <v>628</v>
      </c>
      <c r="M194" s="409" t="s">
        <v>520</v>
      </c>
      <c r="N194" s="360" t="s">
        <v>627</v>
      </c>
      <c r="O194" s="410" t="s">
        <v>626</v>
      </c>
      <c r="P194" s="409" t="s">
        <v>520</v>
      </c>
      <c r="Q194" s="409" t="s">
        <v>520</v>
      </c>
      <c r="R194" s="427" t="s">
        <v>606</v>
      </c>
      <c r="S194" s="424" t="s">
        <v>522</v>
      </c>
      <c r="T194" s="370"/>
    </row>
    <row r="195" spans="1:20" ht="45" hidden="1">
      <c r="A195" s="416"/>
      <c r="B195" s="417"/>
      <c r="C195" s="417"/>
      <c r="D195" s="417"/>
      <c r="E195" s="417"/>
      <c r="F195" s="417"/>
      <c r="G195" s="417"/>
      <c r="H195" s="419"/>
      <c r="I195" s="419"/>
      <c r="J195" s="584"/>
      <c r="K195" s="589" t="s">
        <v>335</v>
      </c>
      <c r="L195" s="409" t="s">
        <v>656</v>
      </c>
      <c r="M195" s="409"/>
      <c r="N195" s="360"/>
      <c r="O195" s="410"/>
      <c r="P195" s="360"/>
      <c r="Q195" s="410"/>
      <c r="R195" s="427"/>
      <c r="S195" s="424"/>
      <c r="T195" s="370"/>
    </row>
    <row r="196" spans="1:20" ht="22.5" hidden="1">
      <c r="A196" s="416"/>
      <c r="B196" s="417"/>
      <c r="C196" s="417"/>
      <c r="D196" s="417"/>
      <c r="E196" s="417"/>
      <c r="F196" s="417"/>
      <c r="G196" s="417"/>
      <c r="H196" s="419"/>
      <c r="I196" s="419"/>
      <c r="J196" s="584"/>
      <c r="K196" s="589" t="s">
        <v>326</v>
      </c>
      <c r="L196" s="409" t="s">
        <v>657</v>
      </c>
      <c r="M196" s="409"/>
      <c r="N196" s="360"/>
      <c r="O196" s="410"/>
      <c r="P196" s="360"/>
      <c r="Q196" s="410"/>
      <c r="R196" s="427"/>
      <c r="S196" s="424"/>
      <c r="T196" s="370"/>
    </row>
    <row r="197" spans="1:20" ht="67.5" hidden="1">
      <c r="A197" s="416"/>
      <c r="B197" s="417"/>
      <c r="C197" s="417"/>
      <c r="D197" s="417"/>
      <c r="E197" s="417"/>
      <c r="F197" s="417"/>
      <c r="G197" s="417"/>
      <c r="H197" s="419"/>
      <c r="I197" s="419"/>
      <c r="J197" s="584"/>
      <c r="K197" s="589" t="s">
        <v>328</v>
      </c>
      <c r="L197" s="409" t="s">
        <v>658</v>
      </c>
      <c r="M197" s="409"/>
      <c r="N197" s="360"/>
      <c r="O197" s="410"/>
      <c r="P197" s="360"/>
      <c r="Q197" s="410"/>
      <c r="R197" s="427"/>
      <c r="S197" s="424"/>
      <c r="T197" s="370"/>
    </row>
    <row r="198" spans="1:20" ht="45" hidden="1">
      <c r="A198" s="416"/>
      <c r="B198" s="417"/>
      <c r="C198" s="417"/>
      <c r="D198" s="417"/>
      <c r="E198" s="417"/>
      <c r="F198" s="417"/>
      <c r="G198" s="417"/>
      <c r="H198" s="419"/>
      <c r="I198" s="419"/>
      <c r="J198" s="584"/>
      <c r="K198" s="589" t="s">
        <v>325</v>
      </c>
      <c r="L198" s="409" t="s">
        <v>659</v>
      </c>
      <c r="M198" s="409"/>
      <c r="N198" s="360"/>
      <c r="O198" s="410"/>
      <c r="P198" s="360"/>
      <c r="Q198" s="410"/>
      <c r="R198" s="427"/>
      <c r="S198" s="424"/>
      <c r="T198" s="370"/>
    </row>
    <row r="199" spans="1:20" ht="180" hidden="1">
      <c r="A199" s="416"/>
      <c r="B199" s="417"/>
      <c r="C199" s="417"/>
      <c r="D199" s="417"/>
      <c r="E199" s="417"/>
      <c r="F199" s="417"/>
      <c r="G199" s="417"/>
      <c r="H199" s="419"/>
      <c r="I199" s="419"/>
      <c r="J199" s="584"/>
      <c r="K199" s="428" t="s">
        <v>158</v>
      </c>
      <c r="L199" s="409" t="s">
        <v>653</v>
      </c>
      <c r="M199" s="409" t="s">
        <v>520</v>
      </c>
      <c r="N199" s="360" t="s">
        <v>655</v>
      </c>
      <c r="O199" s="410" t="s">
        <v>654</v>
      </c>
      <c r="P199" s="409" t="s">
        <v>520</v>
      </c>
      <c r="Q199" s="409" t="s">
        <v>520</v>
      </c>
      <c r="R199" s="427" t="s">
        <v>621</v>
      </c>
      <c r="S199" s="424" t="s">
        <v>622</v>
      </c>
      <c r="T199" s="370"/>
    </row>
    <row r="200" spans="1:20" ht="89.25" hidden="1">
      <c r="A200" s="416"/>
      <c r="B200" s="417"/>
      <c r="C200" s="417"/>
      <c r="D200" s="417"/>
      <c r="E200" s="417"/>
      <c r="F200" s="417"/>
      <c r="G200" s="417"/>
      <c r="H200" s="419"/>
      <c r="I200" s="419"/>
      <c r="J200" s="584"/>
      <c r="K200" s="428" t="s">
        <v>337</v>
      </c>
      <c r="L200" s="409" t="s">
        <v>631</v>
      </c>
      <c r="M200" s="409" t="s">
        <v>520</v>
      </c>
      <c r="N200" s="360" t="s">
        <v>633</v>
      </c>
      <c r="O200" s="410" t="s">
        <v>632</v>
      </c>
      <c r="P200" s="409" t="s">
        <v>520</v>
      </c>
      <c r="Q200" s="409" t="s">
        <v>520</v>
      </c>
      <c r="R200" s="427" t="s">
        <v>609</v>
      </c>
      <c r="S200" s="424" t="s">
        <v>608</v>
      </c>
      <c r="T200" s="370"/>
    </row>
    <row r="201" spans="1:20" ht="191.25" hidden="1">
      <c r="A201" s="416"/>
      <c r="B201" s="417"/>
      <c r="C201" s="417"/>
      <c r="D201" s="417"/>
      <c r="E201" s="417"/>
      <c r="F201" s="417"/>
      <c r="G201" s="417"/>
      <c r="H201" s="419"/>
      <c r="I201" s="419"/>
      <c r="J201" s="585" t="s">
        <v>625</v>
      </c>
      <c r="K201" s="428" t="s">
        <v>13</v>
      </c>
      <c r="L201" s="409" t="s">
        <v>42</v>
      </c>
      <c r="M201" s="409" t="s">
        <v>44</v>
      </c>
      <c r="N201" s="360" t="s">
        <v>170</v>
      </c>
      <c r="O201" s="410" t="s">
        <v>572</v>
      </c>
      <c r="P201" s="409" t="s">
        <v>520</v>
      </c>
      <c r="Q201" s="409" t="s">
        <v>520</v>
      </c>
      <c r="R201" s="427" t="s">
        <v>624</v>
      </c>
      <c r="S201" s="424" t="s">
        <v>504</v>
      </c>
      <c r="T201" s="370"/>
    </row>
    <row r="202" spans="1:20" ht="127.5" hidden="1">
      <c r="A202" s="416"/>
      <c r="B202" s="417"/>
      <c r="C202" s="417"/>
      <c r="D202" s="417"/>
      <c r="E202" s="417"/>
      <c r="F202" s="417"/>
      <c r="G202" s="417"/>
      <c r="H202" s="419"/>
      <c r="I202" s="419"/>
      <c r="J202" s="584"/>
      <c r="K202" s="582" t="s">
        <v>160</v>
      </c>
      <c r="L202" s="409" t="s">
        <v>570</v>
      </c>
      <c r="M202" s="409" t="s">
        <v>520</v>
      </c>
      <c r="N202" s="360" t="s">
        <v>569</v>
      </c>
      <c r="O202" s="410" t="s">
        <v>568</v>
      </c>
      <c r="P202" s="409" t="s">
        <v>520</v>
      </c>
      <c r="Q202" s="409" t="s">
        <v>520</v>
      </c>
      <c r="R202" s="427" t="s">
        <v>605</v>
      </c>
      <c r="S202" s="424" t="s">
        <v>567</v>
      </c>
      <c r="T202" s="370"/>
    </row>
    <row r="203" spans="1:20" ht="127.5" hidden="1">
      <c r="A203" s="416"/>
      <c r="B203" s="417"/>
      <c r="C203" s="417"/>
      <c r="D203" s="417"/>
      <c r="E203" s="417"/>
      <c r="F203" s="417"/>
      <c r="G203" s="417"/>
      <c r="H203" s="419"/>
      <c r="I203" s="419"/>
      <c r="J203" s="585" t="s">
        <v>589</v>
      </c>
      <c r="K203" s="582" t="s">
        <v>162</v>
      </c>
      <c r="L203" s="583" t="str">
        <f>L202</f>
        <v>Наличие/получение  высшего профессионального образования в области дефектологии</v>
      </c>
      <c r="M203" s="583" t="str">
        <f aca="true" t="shared" si="4" ref="M203:S203">M202</f>
        <v> ---</v>
      </c>
      <c r="N203" s="583" t="str">
        <f t="shared" si="4"/>
        <v>Получить  высшее профессиональное образование в области дефектологии</v>
      </c>
      <c r="O203" s="583" t="str">
        <f t="shared" si="4"/>
        <v> 2) если у педагога нет высшего образования в области дефектологии</v>
      </c>
      <c r="P203" s="583" t="str">
        <f t="shared" si="4"/>
        <v> ---</v>
      </c>
      <c r="Q203" s="583" t="str">
        <f t="shared" si="4"/>
        <v> ---</v>
      </c>
      <c r="R203" s="583" t="str">
        <f t="shared" si="4"/>
        <v>Учитель-дефектолог, учитель-логопед (логопед) *</v>
      </c>
      <c r="S203" s="583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0"/>
    </row>
    <row r="204" spans="1:20" ht="22.5" hidden="1">
      <c r="A204" s="416"/>
      <c r="B204" s="417"/>
      <c r="C204" s="417"/>
      <c r="D204" s="417"/>
      <c r="E204" s="417"/>
      <c r="F204" s="417"/>
      <c r="G204" s="417"/>
      <c r="H204" s="419"/>
      <c r="I204" s="419"/>
      <c r="J204" s="584"/>
      <c r="K204" s="587" t="s">
        <v>329</v>
      </c>
      <c r="L204" s="409" t="s">
        <v>652</v>
      </c>
      <c r="M204" s="409"/>
      <c r="N204" s="360"/>
      <c r="O204" s="410"/>
      <c r="P204" s="360"/>
      <c r="Q204" s="410"/>
      <c r="R204" s="427"/>
      <c r="S204" s="424"/>
      <c r="T204" s="370"/>
    </row>
    <row r="205" spans="1:20" ht="9" customHeight="1" hidden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26"/>
      <c r="L205" s="426"/>
      <c r="M205" s="426"/>
      <c r="N205" s="426"/>
      <c r="O205" s="426"/>
      <c r="P205" s="426"/>
      <c r="Q205" s="426"/>
      <c r="R205" s="426"/>
      <c r="S205" s="426"/>
      <c r="T205" s="370"/>
    </row>
    <row r="206" spans="1:20" ht="12.75" hidden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0"/>
    </row>
    <row r="207" spans="13:20" ht="12.75" hidden="1">
      <c r="M207" s="5"/>
      <c r="N207" s="5"/>
      <c r="T207" s="370"/>
    </row>
    <row r="208" spans="13:20" ht="12.75" hidden="1">
      <c r="M208" s="5"/>
      <c r="N208" s="5"/>
      <c r="T208" s="370"/>
    </row>
    <row r="209" spans="1:256" s="147" customFormat="1" ht="15.75" hidden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70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 hidden="1">
      <c r="M210" s="5"/>
      <c r="N210" s="5"/>
      <c r="T210" s="370"/>
    </row>
    <row r="211" spans="13:20" ht="12.75" hidden="1">
      <c r="M211" s="5"/>
      <c r="N211" s="5"/>
      <c r="T211" s="370"/>
    </row>
    <row r="212" spans="13:20" ht="12.75" hidden="1">
      <c r="M212" s="5"/>
      <c r="N212" s="5"/>
      <c r="T212" s="370"/>
    </row>
    <row r="213" spans="13:20" ht="12.75" hidden="1">
      <c r="M213" s="5"/>
      <c r="N213" s="5"/>
      <c r="T213" s="370"/>
    </row>
    <row r="214" spans="13:20" ht="12.75" hidden="1">
      <c r="M214" s="5"/>
      <c r="N214" s="5"/>
      <c r="T214" s="370"/>
    </row>
    <row r="215" spans="13:20" ht="12.75">
      <c r="M215" s="5"/>
      <c r="N215" s="5"/>
      <c r="T215" s="370"/>
    </row>
    <row r="216" spans="13:20" ht="12.75">
      <c r="M216" s="5"/>
      <c r="N216" s="5"/>
      <c r="T216" s="370"/>
    </row>
    <row r="217" spans="13:20" ht="12.75">
      <c r="M217" s="5"/>
      <c r="N217" s="5"/>
      <c r="T217" s="370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  <c r="HW224" s="147"/>
      <c r="HX224" s="147"/>
      <c r="HY224" s="147"/>
      <c r="HZ224" s="147"/>
      <c r="IA224" s="147"/>
      <c r="IB224" s="147"/>
      <c r="IC224" s="147"/>
      <c r="ID224" s="147"/>
      <c r="IE224" s="147"/>
      <c r="IF224" s="147"/>
      <c r="IG224" s="147"/>
      <c r="IH224" s="147"/>
      <c r="II224" s="147"/>
      <c r="IJ224" s="147"/>
      <c r="IK224" s="147"/>
      <c r="IL224" s="147"/>
      <c r="IM224" s="147"/>
      <c r="IN224" s="147"/>
      <c r="IO224" s="147"/>
      <c r="IP224" s="147"/>
      <c r="IQ224" s="147"/>
      <c r="IR224" s="147"/>
      <c r="IS224" s="147"/>
      <c r="IT224" s="147"/>
      <c r="IU224" s="147"/>
      <c r="IV224" s="147"/>
    </row>
  </sheetData>
  <sheetProtection password="CF6C" sheet="1"/>
  <mergeCells count="94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G18:J18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F49:H4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I39:J3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4" dxfId="27" stopIfTrue="1">
      <formula>$I$39&lt;&gt;""</formula>
    </cfRule>
  </conditionalFormatting>
  <conditionalFormatting sqref="A129 A1">
    <cfRule type="cellIs" priority="41" dxfId="28" operator="equal" stopIfTrue="1">
      <formula>"Все данные введены. Перейдите на лист ЭЗ"</formula>
    </cfRule>
  </conditionalFormatting>
  <conditionalFormatting sqref="B116:I117">
    <cfRule type="expression" priority="42" dxfId="29" stopIfTrue="1">
      <formula>$F$108&lt;3</formula>
    </cfRule>
  </conditionalFormatting>
  <conditionalFormatting sqref="B114:B115 I114:I115 C114:H114">
    <cfRule type="expression" priority="43" dxfId="29" stopIfTrue="1">
      <formula>$F$108&lt;2</formula>
    </cfRule>
  </conditionalFormatting>
  <conditionalFormatting sqref="A124">
    <cfRule type="containsText" priority="40" dxfId="30" operator="containsText" stopIfTrue="1" text="НЕ СООТВ">
      <formula>NOT(ISERROR(SEARCH("НЕ СООТВ",A124)))</formula>
    </cfRule>
  </conditionalFormatting>
  <conditionalFormatting sqref="I84">
    <cfRule type="expression" priority="33" dxfId="29" stopIfTrue="1">
      <formula>$G$84="нет"</formula>
    </cfRule>
  </conditionalFormatting>
  <conditionalFormatting sqref="K76 J84">
    <cfRule type="expression" priority="35" dxfId="31" stopIfTrue="1">
      <formula>$G$84="нет"</formula>
    </cfRule>
  </conditionalFormatting>
  <conditionalFormatting sqref="H78">
    <cfRule type="expression" priority="37" dxfId="32" stopIfTrue="1">
      <formula>$G$78&gt;0</formula>
    </cfRule>
  </conditionalFormatting>
  <conditionalFormatting sqref="I40">
    <cfRule type="expression" priority="32" dxfId="27" stopIfTrue="1">
      <formula>$I$41&lt;&gt;""</formula>
    </cfRule>
  </conditionalFormatting>
  <conditionalFormatting sqref="B40">
    <cfRule type="expression" priority="31" dxfId="33" stopIfTrue="1">
      <formula>"$A$23=""-"""</formula>
    </cfRule>
  </conditionalFormatting>
  <conditionalFormatting sqref="E4:F16">
    <cfRule type="cellIs" priority="45" dxfId="34" operator="equal" stopIfTrue="1">
      <formula>0</formula>
    </cfRule>
  </conditionalFormatting>
  <conditionalFormatting sqref="I49:J49 E49:F49">
    <cfRule type="expression" priority="46" dxfId="29" stopIfTrue="1">
      <formula>$D$47&lt;&gt;"нет"</formula>
    </cfRule>
  </conditionalFormatting>
  <conditionalFormatting sqref="C115:H115">
    <cfRule type="expression" priority="47" dxfId="35" stopIfTrue="1">
      <formula>$F$108&lt;2</formula>
    </cfRule>
  </conditionalFormatting>
  <conditionalFormatting sqref="C24 Q24">
    <cfRule type="expression" priority="65" dxfId="36" stopIfTrue="1">
      <formula>#REF!="нет"</formula>
    </cfRule>
  </conditionalFormatting>
  <conditionalFormatting sqref="J71:J72 E71 G71">
    <cfRule type="expression" priority="131" dxfId="37" stopIfTrue="1">
      <formula>$A$71=$N$75</formula>
    </cfRule>
  </conditionalFormatting>
  <conditionalFormatting sqref="B73:J75">
    <cfRule type="expression" priority="134" dxfId="38" stopIfTrue="1">
      <formula>$A$71=$N$75</formula>
    </cfRule>
  </conditionalFormatting>
  <conditionalFormatting sqref="K125">
    <cfRule type="containsText" priority="10" dxfId="39" operator="containsText" stopIfTrue="1" text="не соотв">
      <formula>NOT(ISERROR(SEARCH("не соотв",K125)))</formula>
    </cfRule>
  </conditionalFormatting>
  <conditionalFormatting sqref="E23:J23">
    <cfRule type="expression" priority="157" dxfId="40" stopIfTrue="1">
      <formula>$C$23&lt;&gt;"да"</formula>
    </cfRule>
  </conditionalFormatting>
  <conditionalFormatting sqref="C21:C23">
    <cfRule type="expression" priority="180" dxfId="38" stopIfTrue="1">
      <formula>$B$21=""</formula>
    </cfRule>
  </conditionalFormatting>
  <conditionalFormatting sqref="I47">
    <cfRule type="expression" priority="9" dxfId="41" stopIfTrue="1">
      <formula>$D$47="нет"</formula>
    </cfRule>
  </conditionalFormatting>
  <conditionalFormatting sqref="I47">
    <cfRule type="expression" priority="2" dxfId="41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$L$21:$L$27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"учитель-логопед, логопед, 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1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6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8"/>
      <c r="Y1" s="225"/>
      <c r="Z1" s="226"/>
      <c r="AA1" s="214"/>
      <c r="AB1" s="214" t="s">
        <v>177</v>
      </c>
      <c r="AC1" s="227" t="s">
        <v>178</v>
      </c>
      <c r="AE1" s="180"/>
      <c r="AG1" s="512" t="s">
        <v>543</v>
      </c>
      <c r="AH1" s="512" t="s">
        <v>544</v>
      </c>
    </row>
    <row r="2" spans="24:34" ht="12.75" customHeight="1" hidden="1">
      <c r="X2" s="298"/>
      <c r="Y2" s="336" t="s">
        <v>119</v>
      </c>
      <c r="Z2" s="340"/>
      <c r="AA2" s="330" t="s">
        <v>374</v>
      </c>
      <c r="AB2" s="217"/>
      <c r="AC2" s="218">
        <f>LEN(AA2)</f>
        <v>8</v>
      </c>
      <c r="AE2" s="324" t="s">
        <v>120</v>
      </c>
      <c r="AG2" s="512"/>
      <c r="AH2" s="512"/>
    </row>
    <row r="3" spans="24:38" ht="12.75" hidden="1">
      <c r="X3" s="298"/>
      <c r="Y3" s="337" t="s">
        <v>121</v>
      </c>
      <c r="Z3" s="341" t="s">
        <v>140</v>
      </c>
      <c r="AA3" s="330" t="s">
        <v>375</v>
      </c>
      <c r="AB3" s="217"/>
      <c r="AC3" s="218">
        <f aca="true" t="shared" si="0" ref="AC3:AC33">LEN(AA3)</f>
        <v>11</v>
      </c>
      <c r="AE3" s="324" t="s">
        <v>122</v>
      </c>
      <c r="AG3" s="512"/>
      <c r="AH3" s="512"/>
      <c r="AI3" s="157" t="s">
        <v>121</v>
      </c>
      <c r="AL3" s="157" t="s">
        <v>127</v>
      </c>
    </row>
    <row r="4" spans="24:38" ht="12.75" hidden="1">
      <c r="X4" s="298"/>
      <c r="Y4" s="338" t="s">
        <v>123</v>
      </c>
      <c r="Z4" s="342"/>
      <c r="AA4" s="330" t="s">
        <v>376</v>
      </c>
      <c r="AB4" s="217"/>
      <c r="AC4" s="218">
        <f t="shared" si="0"/>
        <v>11</v>
      </c>
      <c r="AE4" s="324" t="s">
        <v>124</v>
      </c>
      <c r="AG4" s="512"/>
      <c r="AH4" s="512"/>
      <c r="AI4" s="157" t="s">
        <v>123</v>
      </c>
      <c r="AL4" s="157" t="s">
        <v>133</v>
      </c>
    </row>
    <row r="5" spans="24:38" ht="12.75" hidden="1">
      <c r="X5" s="298"/>
      <c r="Y5" s="337" t="s">
        <v>125</v>
      </c>
      <c r="Z5" s="341"/>
      <c r="AA5" s="330" t="s">
        <v>377</v>
      </c>
      <c r="AB5" s="217"/>
      <c r="AC5" s="218">
        <f t="shared" si="0"/>
        <v>20</v>
      </c>
      <c r="AE5" s="324" t="s">
        <v>126</v>
      </c>
      <c r="AG5" s="512"/>
      <c r="AH5" s="512"/>
      <c r="AI5" s="157" t="s">
        <v>125</v>
      </c>
      <c r="AL5" s="157" t="s">
        <v>138</v>
      </c>
    </row>
    <row r="6" spans="24:38" ht="12.75" hidden="1">
      <c r="X6" s="298"/>
      <c r="Y6" s="337" t="s">
        <v>127</v>
      </c>
      <c r="Z6" s="341"/>
      <c r="AA6" s="330" t="s">
        <v>588</v>
      </c>
      <c r="AB6" s="217"/>
      <c r="AC6" s="218">
        <f t="shared" si="0"/>
        <v>34</v>
      </c>
      <c r="AE6" s="324" t="s">
        <v>128</v>
      </c>
      <c r="AG6" s="512"/>
      <c r="AH6" s="512"/>
      <c r="AL6" s="157" t="s">
        <v>145</v>
      </c>
    </row>
    <row r="7" spans="24:38" ht="12.75" hidden="1">
      <c r="X7" s="298"/>
      <c r="Y7" s="337" t="s">
        <v>129</v>
      </c>
      <c r="Z7" s="341"/>
      <c r="AA7" s="330" t="s">
        <v>378</v>
      </c>
      <c r="AB7" s="217"/>
      <c r="AC7" s="218">
        <f t="shared" si="0"/>
        <v>21</v>
      </c>
      <c r="AE7" s="324" t="s">
        <v>130</v>
      </c>
      <c r="AG7" s="512"/>
      <c r="AH7" s="512"/>
      <c r="AI7" s="157" t="s">
        <v>129</v>
      </c>
      <c r="AL7" s="157" t="s">
        <v>162</v>
      </c>
    </row>
    <row r="8" spans="24:35" ht="12.75" hidden="1">
      <c r="X8" s="298"/>
      <c r="Y8" s="337" t="s">
        <v>131</v>
      </c>
      <c r="Z8" s="341"/>
      <c r="AA8" s="330" t="s">
        <v>379</v>
      </c>
      <c r="AB8" s="217"/>
      <c r="AC8" s="218">
        <f t="shared" si="0"/>
        <v>15</v>
      </c>
      <c r="AE8" s="324" t="s">
        <v>132</v>
      </c>
      <c r="AG8" s="512"/>
      <c r="AH8" s="512"/>
      <c r="AI8" s="157" t="s">
        <v>131</v>
      </c>
    </row>
    <row r="9" spans="24:34" ht="12.75" hidden="1">
      <c r="X9" s="298"/>
      <c r="Y9" s="338" t="s">
        <v>133</v>
      </c>
      <c r="Z9" s="342"/>
      <c r="AA9" s="330" t="s">
        <v>380</v>
      </c>
      <c r="AB9" s="217"/>
      <c r="AC9" s="218">
        <f t="shared" si="0"/>
        <v>8</v>
      </c>
      <c r="AE9" s="324" t="s">
        <v>134</v>
      </c>
      <c r="AG9" s="512"/>
      <c r="AH9" s="512"/>
    </row>
    <row r="10" spans="24:35" ht="12.75" hidden="1">
      <c r="X10" s="298"/>
      <c r="Y10" s="337" t="s">
        <v>135</v>
      </c>
      <c r="Z10" s="341"/>
      <c r="AA10" s="330" t="s">
        <v>473</v>
      </c>
      <c r="AB10" s="217"/>
      <c r="AC10" s="218">
        <f t="shared" si="0"/>
        <v>34</v>
      </c>
      <c r="AE10" s="324" t="s">
        <v>474</v>
      </c>
      <c r="AG10" s="512"/>
      <c r="AH10" s="512"/>
      <c r="AI10" s="157" t="s">
        <v>135</v>
      </c>
    </row>
    <row r="11" spans="24:35" ht="12.75" hidden="1">
      <c r="X11" s="298"/>
      <c r="Y11" s="337" t="s">
        <v>136</v>
      </c>
      <c r="Z11" s="341"/>
      <c r="AA11" s="330" t="s">
        <v>381</v>
      </c>
      <c r="AB11" s="217"/>
      <c r="AC11" s="218">
        <f t="shared" si="0"/>
        <v>9</v>
      </c>
      <c r="AE11" s="324" t="s">
        <v>137</v>
      </c>
      <c r="AG11" s="512"/>
      <c r="AH11" s="512"/>
      <c r="AI11" s="157" t="s">
        <v>136</v>
      </c>
    </row>
    <row r="12" spans="24:34" ht="12.75" hidden="1">
      <c r="X12" s="298"/>
      <c r="Y12" s="337" t="s">
        <v>138</v>
      </c>
      <c r="Z12" s="341"/>
      <c r="AA12" s="330" t="s">
        <v>382</v>
      </c>
      <c r="AB12" s="217"/>
      <c r="AC12" s="218">
        <f t="shared" si="0"/>
        <v>25</v>
      </c>
      <c r="AE12" s="324" t="s">
        <v>139</v>
      </c>
      <c r="AG12" s="512"/>
      <c r="AH12" s="512"/>
    </row>
    <row r="13" spans="24:35" ht="12.75" hidden="1">
      <c r="X13" s="298"/>
      <c r="Y13" s="337" t="s">
        <v>141</v>
      </c>
      <c r="Z13" s="341"/>
      <c r="AA13" s="330" t="s">
        <v>383</v>
      </c>
      <c r="AB13" s="217"/>
      <c r="AC13" s="218">
        <f t="shared" si="0"/>
        <v>25</v>
      </c>
      <c r="AE13" s="324" t="s">
        <v>142</v>
      </c>
      <c r="AG13" s="512"/>
      <c r="AH13" s="512"/>
      <c r="AI13" s="157" t="s">
        <v>141</v>
      </c>
    </row>
    <row r="14" spans="24:35" ht="12.75" hidden="1">
      <c r="X14" s="298"/>
      <c r="Y14" s="336" t="s">
        <v>333</v>
      </c>
      <c r="Z14" s="340"/>
      <c r="AA14" s="330" t="s">
        <v>384</v>
      </c>
      <c r="AB14" s="217"/>
      <c r="AC14" s="218">
        <f t="shared" si="0"/>
        <v>21</v>
      </c>
      <c r="AE14" s="324" t="s">
        <v>334</v>
      </c>
      <c r="AG14" s="512"/>
      <c r="AH14" s="512"/>
      <c r="AI14" s="157" t="s">
        <v>333</v>
      </c>
    </row>
    <row r="15" spans="24:35" ht="12.75" hidden="1">
      <c r="X15" s="298"/>
      <c r="Y15" s="337" t="s">
        <v>143</v>
      </c>
      <c r="Z15" s="341" t="s">
        <v>140</v>
      </c>
      <c r="AA15" s="330" t="s">
        <v>385</v>
      </c>
      <c r="AB15" s="217"/>
      <c r="AC15" s="218">
        <f t="shared" si="0"/>
        <v>21</v>
      </c>
      <c r="AE15" s="324" t="s">
        <v>144</v>
      </c>
      <c r="AG15" s="512"/>
      <c r="AH15" s="512"/>
      <c r="AI15" s="157" t="s">
        <v>143</v>
      </c>
    </row>
    <row r="16" spans="24:34" ht="12.75" hidden="1">
      <c r="X16" s="298"/>
      <c r="Y16" s="337" t="s">
        <v>145</v>
      </c>
      <c r="Z16" s="341"/>
      <c r="AA16" s="330" t="s">
        <v>386</v>
      </c>
      <c r="AB16" s="217"/>
      <c r="AC16" s="218">
        <f t="shared" si="0"/>
        <v>18</v>
      </c>
      <c r="AE16" s="324" t="s">
        <v>146</v>
      </c>
      <c r="AG16" s="512"/>
      <c r="AH16" s="512"/>
    </row>
    <row r="17" spans="24:35" ht="12.75" hidden="1">
      <c r="X17" s="298"/>
      <c r="Y17" s="337" t="s">
        <v>147</v>
      </c>
      <c r="Z17" s="341" t="s">
        <v>140</v>
      </c>
      <c r="AA17" s="330" t="s">
        <v>387</v>
      </c>
      <c r="AB17" s="217"/>
      <c r="AC17" s="218">
        <f t="shared" si="0"/>
        <v>13</v>
      </c>
      <c r="AE17" s="324" t="s">
        <v>148</v>
      </c>
      <c r="AG17" s="512"/>
      <c r="AH17" s="512"/>
      <c r="AI17" s="157" t="s">
        <v>147</v>
      </c>
    </row>
    <row r="18" spans="24:35" ht="12.75" hidden="1">
      <c r="X18" s="298"/>
      <c r="Y18" s="337" t="s">
        <v>406</v>
      </c>
      <c r="Z18" s="341" t="s">
        <v>140</v>
      </c>
      <c r="AA18" s="330" t="s">
        <v>388</v>
      </c>
      <c r="AB18" s="217"/>
      <c r="AC18" s="218">
        <f t="shared" si="0"/>
        <v>30</v>
      </c>
      <c r="AE18" s="324" t="s">
        <v>373</v>
      </c>
      <c r="AG18" s="512"/>
      <c r="AH18" s="512"/>
      <c r="AI18" s="157" t="s">
        <v>512</v>
      </c>
    </row>
    <row r="19" spans="24:35" ht="12.75" hidden="1">
      <c r="X19" s="298"/>
      <c r="Y19" s="337" t="s">
        <v>331</v>
      </c>
      <c r="Z19" s="341"/>
      <c r="AA19" s="330" t="s">
        <v>389</v>
      </c>
      <c r="AB19" s="217"/>
      <c r="AC19" s="218">
        <f t="shared" si="0"/>
        <v>28</v>
      </c>
      <c r="AE19" s="324" t="s">
        <v>149</v>
      </c>
      <c r="AG19" s="512"/>
      <c r="AH19" s="512"/>
      <c r="AI19" s="157" t="s">
        <v>331</v>
      </c>
    </row>
    <row r="20" spans="24:35" ht="12.75" hidden="1">
      <c r="X20" s="298"/>
      <c r="Y20" s="337" t="s">
        <v>150</v>
      </c>
      <c r="Z20" s="341"/>
      <c r="AA20" s="330" t="s">
        <v>390</v>
      </c>
      <c r="AB20" s="217"/>
      <c r="AC20" s="218">
        <f t="shared" si="0"/>
        <v>20</v>
      </c>
      <c r="AE20" s="324" t="s">
        <v>151</v>
      </c>
      <c r="AG20" s="512"/>
      <c r="AH20" s="512"/>
      <c r="AI20" s="157" t="s">
        <v>150</v>
      </c>
    </row>
    <row r="21" spans="24:35" ht="12.75" hidden="1">
      <c r="X21" s="298"/>
      <c r="Y21" s="336" t="s">
        <v>152</v>
      </c>
      <c r="Z21" s="340"/>
      <c r="AA21" s="330" t="s">
        <v>391</v>
      </c>
      <c r="AB21" s="217"/>
      <c r="AC21" s="218">
        <f t="shared" si="0"/>
        <v>17</v>
      </c>
      <c r="AE21" s="324" t="s">
        <v>153</v>
      </c>
      <c r="AG21" s="512"/>
      <c r="AH21" s="512"/>
      <c r="AI21" s="157" t="s">
        <v>152</v>
      </c>
    </row>
    <row r="22" spans="24:35" ht="12.75" hidden="1">
      <c r="X22" s="298"/>
      <c r="Y22" s="336" t="s">
        <v>154</v>
      </c>
      <c r="Z22" s="340"/>
      <c r="AA22" s="330" t="s">
        <v>392</v>
      </c>
      <c r="AB22" s="217"/>
      <c r="AC22" s="218">
        <f t="shared" si="0"/>
        <v>20</v>
      </c>
      <c r="AE22" s="324" t="s">
        <v>155</v>
      </c>
      <c r="AG22" s="512"/>
      <c r="AH22" s="512"/>
      <c r="AI22" s="157" t="s">
        <v>154</v>
      </c>
    </row>
    <row r="23" spans="24:35" ht="12.75" hidden="1">
      <c r="X23" s="298"/>
      <c r="Y23" s="336" t="s">
        <v>335</v>
      </c>
      <c r="Z23" s="340"/>
      <c r="AA23" s="330" t="s">
        <v>393</v>
      </c>
      <c r="AB23" s="217"/>
      <c r="AC23" s="218">
        <f t="shared" si="0"/>
        <v>30</v>
      </c>
      <c r="AE23" s="324" t="s">
        <v>336</v>
      </c>
      <c r="AG23" s="512"/>
      <c r="AH23" s="512"/>
      <c r="AI23" s="157" t="s">
        <v>335</v>
      </c>
    </row>
    <row r="24" spans="24:35" ht="12.75" hidden="1">
      <c r="X24" s="298"/>
      <c r="Y24" s="336" t="s">
        <v>326</v>
      </c>
      <c r="Z24" s="340"/>
      <c r="AA24" s="330" t="s">
        <v>394</v>
      </c>
      <c r="AB24" s="217"/>
      <c r="AC24" s="218">
        <f t="shared" si="0"/>
        <v>18</v>
      </c>
      <c r="AE24" s="324" t="s">
        <v>327</v>
      </c>
      <c r="AG24" s="512"/>
      <c r="AH24" s="512"/>
      <c r="AI24" s="157" t="s">
        <v>326</v>
      </c>
    </row>
    <row r="25" spans="24:35" ht="12.75" hidden="1">
      <c r="X25" s="298"/>
      <c r="Y25" s="336" t="s">
        <v>328</v>
      </c>
      <c r="Z25" s="340"/>
      <c r="AA25" s="330" t="s">
        <v>395</v>
      </c>
      <c r="AB25" s="217"/>
      <c r="AC25" s="218">
        <f t="shared" si="0"/>
        <v>33</v>
      </c>
      <c r="AE25" s="324" t="s">
        <v>332</v>
      </c>
      <c r="AG25" s="512"/>
      <c r="AH25" s="512"/>
      <c r="AI25" s="157" t="s">
        <v>328</v>
      </c>
    </row>
    <row r="26" spans="24:35" ht="12.75" hidden="1">
      <c r="X26" s="298"/>
      <c r="Y26" s="336" t="s">
        <v>325</v>
      </c>
      <c r="Z26" s="340"/>
      <c r="AA26" s="330" t="s">
        <v>396</v>
      </c>
      <c r="AB26" s="217"/>
      <c r="AC26" s="218">
        <f t="shared" si="0"/>
        <v>16</v>
      </c>
      <c r="AE26" s="324" t="s">
        <v>324</v>
      </c>
      <c r="AG26" s="512"/>
      <c r="AH26" s="512"/>
      <c r="AI26" s="157" t="s">
        <v>325</v>
      </c>
    </row>
    <row r="27" spans="24:35" ht="12.75" hidden="1">
      <c r="X27" s="298"/>
      <c r="Y27" s="338" t="s">
        <v>156</v>
      </c>
      <c r="Z27" s="342" t="s">
        <v>140</v>
      </c>
      <c r="AA27" s="330" t="s">
        <v>397</v>
      </c>
      <c r="AB27" s="217"/>
      <c r="AC27" s="218">
        <f t="shared" si="0"/>
        <v>7</v>
      </c>
      <c r="AE27" s="324" t="s">
        <v>157</v>
      </c>
      <c r="AG27" s="512"/>
      <c r="AH27" s="512"/>
      <c r="AI27" s="157" t="s">
        <v>156</v>
      </c>
    </row>
    <row r="28" spans="24:35" ht="12.75" hidden="1">
      <c r="X28" s="298"/>
      <c r="Y28" s="337" t="s">
        <v>158</v>
      </c>
      <c r="Z28" s="341" t="s">
        <v>140</v>
      </c>
      <c r="AA28" s="330" t="s">
        <v>398</v>
      </c>
      <c r="AB28" s="217"/>
      <c r="AC28" s="218">
        <f t="shared" si="0"/>
        <v>21</v>
      </c>
      <c r="AE28" s="324" t="s">
        <v>159</v>
      </c>
      <c r="AG28" s="512"/>
      <c r="AH28" s="512"/>
      <c r="AI28" s="157" t="s">
        <v>158</v>
      </c>
    </row>
    <row r="29" spans="24:35" ht="12.75" hidden="1">
      <c r="X29" s="298"/>
      <c r="Y29" s="336" t="s">
        <v>337</v>
      </c>
      <c r="Z29" s="340" t="s">
        <v>140</v>
      </c>
      <c r="AA29" s="330" t="s">
        <v>399</v>
      </c>
      <c r="AB29" s="217"/>
      <c r="AC29" s="218">
        <f t="shared" si="0"/>
        <v>7</v>
      </c>
      <c r="AE29" s="324" t="s">
        <v>338</v>
      </c>
      <c r="AG29" s="512"/>
      <c r="AH29" s="512"/>
      <c r="AI29" s="157" t="s">
        <v>337</v>
      </c>
    </row>
    <row r="30" spans="24:35" ht="12.75" hidden="1">
      <c r="X30" s="298"/>
      <c r="Y30" s="337" t="s">
        <v>13</v>
      </c>
      <c r="Z30" s="341" t="s">
        <v>140</v>
      </c>
      <c r="AA30" s="330" t="s">
        <v>400</v>
      </c>
      <c r="AB30" s="217"/>
      <c r="AC30" s="218">
        <f t="shared" si="0"/>
        <v>7</v>
      </c>
      <c r="AE30" s="324" t="s">
        <v>6</v>
      </c>
      <c r="AG30" s="512"/>
      <c r="AH30" s="512"/>
      <c r="AI30" s="157" t="s">
        <v>13</v>
      </c>
    </row>
    <row r="31" spans="24:35" ht="12.75" hidden="1">
      <c r="X31" s="298"/>
      <c r="Y31" s="339" t="s">
        <v>160</v>
      </c>
      <c r="Z31" s="341"/>
      <c r="AA31" s="330" t="s">
        <v>401</v>
      </c>
      <c r="AB31" s="217"/>
      <c r="AC31" s="218">
        <f>LEN(AA31)</f>
        <v>19</v>
      </c>
      <c r="AE31" s="324" t="s">
        <v>161</v>
      </c>
      <c r="AG31" s="512"/>
      <c r="AH31" s="512"/>
      <c r="AI31" s="157" t="s">
        <v>160</v>
      </c>
    </row>
    <row r="32" spans="24:34" ht="12.75" hidden="1">
      <c r="X32" s="298"/>
      <c r="Y32" s="339" t="s">
        <v>162</v>
      </c>
      <c r="Z32" s="341"/>
      <c r="AA32" s="330" t="s">
        <v>402</v>
      </c>
      <c r="AB32" s="217"/>
      <c r="AC32" s="218">
        <f t="shared" si="0"/>
        <v>16</v>
      </c>
      <c r="AE32" s="324" t="s">
        <v>163</v>
      </c>
      <c r="AG32" s="512"/>
      <c r="AH32" s="512"/>
    </row>
    <row r="33" spans="24:35" ht="12.75" hidden="1">
      <c r="X33" s="298"/>
      <c r="Y33" s="338" t="s">
        <v>329</v>
      </c>
      <c r="Z33" s="342"/>
      <c r="AA33" s="331" t="s">
        <v>403</v>
      </c>
      <c r="AB33" s="217"/>
      <c r="AC33" s="218">
        <f t="shared" si="0"/>
        <v>11</v>
      </c>
      <c r="AE33" s="325" t="s">
        <v>330</v>
      </c>
      <c r="AG33" s="512"/>
      <c r="AH33" s="512"/>
      <c r="AI33" s="157" t="s">
        <v>329</v>
      </c>
    </row>
    <row r="34" spans="24:34" ht="12.75" hidden="1">
      <c r="X34" s="298"/>
      <c r="Y34" s="217"/>
      <c r="Z34" s="217"/>
      <c r="AA34" s="324" t="s">
        <v>5</v>
      </c>
      <c r="AB34" s="217"/>
      <c r="AC34" s="218"/>
      <c r="AE34" s="324"/>
      <c r="AG34" s="512"/>
      <c r="AH34" s="512"/>
    </row>
    <row r="35" spans="24:34" ht="12.75" hidden="1">
      <c r="X35" s="298"/>
      <c r="Y35" s="219" t="str">
        <f>IF(OR('общие сведения'!L39=""),"Ошибка !",VLOOKUP('общие сведения'!L39,Y1:AB34,3))</f>
        <v>УЧИТЕЛЯ-ЛОГОПЕДА</v>
      </c>
      <c r="Z35" s="220"/>
      <c r="AA35" s="221">
        <f>LEN(Y35)</f>
        <v>16</v>
      </c>
      <c r="AB35" s="222"/>
      <c r="AC35" s="411" t="str">
        <f>IF(AC37="","-",IF(VLOOKUP(AC37,Y2:Z34,2)="v","Специализация","."))</f>
        <v>.</v>
      </c>
      <c r="AE35" s="219" t="str">
        <f>VLOOKUP('общие сведения'!L39,Y1:AE34,7)</f>
        <v>учителя-логопеда</v>
      </c>
      <c r="AG35" s="512"/>
      <c r="AH35" s="512"/>
    </row>
    <row r="36" spans="24:29" ht="12.75" hidden="1">
      <c r="X36" s="298"/>
      <c r="Y36" s="223">
        <f>IF(ISERR(SEARCH(LEFT(Y35,5),D52)),0,1)</f>
        <v>0</v>
      </c>
      <c r="Z36" s="1097"/>
      <c r="AA36" s="1097"/>
      <c r="AB36" s="224"/>
      <c r="AC36" s="218"/>
    </row>
    <row r="37" spans="24:29" ht="12.75" hidden="1">
      <c r="X37" s="298"/>
      <c r="Y37" s="217" t="str">
        <f>IF(AND(AA35&lt;31,Y36=1),Y35,AE35)</f>
        <v>учителя-логопеда</v>
      </c>
      <c r="Z37" s="304"/>
      <c r="AA37" s="304"/>
      <c r="AB37" s="305"/>
      <c r="AC37" s="443" t="str">
        <f>'общие сведения'!B39</f>
        <v>учитель-логопед</v>
      </c>
    </row>
    <row r="38" spans="24:29" ht="12.75" hidden="1">
      <c r="X38" s="298"/>
      <c r="Y38" s="217"/>
      <c r="Z38" s="304"/>
      <c r="AA38" s="304"/>
      <c r="AB38" s="305"/>
      <c r="AC38" s="168"/>
    </row>
    <row r="39" spans="24:29" ht="12.75" hidden="1">
      <c r="X39" s="298"/>
      <c r="Y39" s="217"/>
      <c r="Z39" s="304"/>
      <c r="AA39" s="304"/>
      <c r="AB39" s="305"/>
      <c r="AC39" s="168"/>
    </row>
    <row r="40" spans="1:24" ht="15" customHeight="1">
      <c r="A40" s="1099" t="s">
        <v>179</v>
      </c>
      <c r="B40" s="1099"/>
      <c r="C40" s="1099"/>
      <c r="D40" s="1099"/>
      <c r="E40" s="1099"/>
      <c r="F40" s="1099"/>
      <c r="G40" s="1099"/>
      <c r="H40" s="1099"/>
      <c r="I40" s="1099"/>
      <c r="J40" s="1099"/>
      <c r="K40" s="1099"/>
      <c r="L40" s="1099"/>
      <c r="M40" s="1099"/>
      <c r="N40" s="1099"/>
      <c r="O40" s="1099"/>
      <c r="P40" s="1099"/>
      <c r="Q40" s="1099"/>
      <c r="R40" s="1099"/>
      <c r="S40" s="1099"/>
      <c r="T40" s="1099"/>
      <c r="U40" s="1099"/>
      <c r="V40" s="1099"/>
      <c r="W40" s="1099"/>
      <c r="X40" s="363"/>
    </row>
    <row r="41" spans="1:34" ht="0.75" customHeight="1">
      <c r="A41" s="1099"/>
      <c r="B41" s="1099"/>
      <c r="C41" s="1099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363"/>
      <c r="AH41" s="363"/>
    </row>
    <row r="42" spans="1:34" ht="15" customHeight="1">
      <c r="A42" s="1098" t="s">
        <v>675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445" t="str">
        <f>'общие сведения'!T1</f>
        <v> ЭЗ - 05. 2021 г.</v>
      </c>
      <c r="Y42" s="57"/>
      <c r="AH42" s="363"/>
    </row>
    <row r="43" spans="1:34" ht="12.75">
      <c r="A43" s="1098"/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444" t="str">
        <f>'общие сведения'!T2</f>
        <v># 6</v>
      </c>
      <c r="AH43" s="363"/>
    </row>
    <row r="44" spans="1:34" ht="12.75">
      <c r="A44" s="1098"/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429"/>
      <c r="AH44" s="363"/>
    </row>
    <row r="45" spans="1:34" ht="18" customHeight="1">
      <c r="A45" s="1095" t="s">
        <v>180</v>
      </c>
      <c r="B45" s="1095"/>
      <c r="C45" s="1095"/>
      <c r="D45" s="1095"/>
      <c r="E45" s="1095"/>
      <c r="F45" s="1095"/>
      <c r="G45" s="1095"/>
      <c r="H45" s="1095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1095"/>
      <c r="V45" s="1095"/>
      <c r="W45" s="1095"/>
      <c r="X45" s="429"/>
      <c r="AH45" s="363"/>
    </row>
    <row r="46" spans="1:34" ht="3.75" customHeight="1">
      <c r="A46" s="1095"/>
      <c r="B46" s="1095"/>
      <c r="C46" s="1095"/>
      <c r="D46" s="1095"/>
      <c r="E46" s="1095"/>
      <c r="F46" s="1095"/>
      <c r="G46" s="1095"/>
      <c r="H46" s="1095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1095"/>
      <c r="V46" s="1095"/>
      <c r="W46" s="1095"/>
      <c r="X46" s="429"/>
      <c r="AH46" s="363"/>
    </row>
    <row r="47" spans="1:34" ht="12.75">
      <c r="A47" s="159" t="s">
        <v>9</v>
      </c>
      <c r="E47" s="1100">
        <f>'общие сведения'!L31</f>
      </c>
      <c r="F47" s="1100"/>
      <c r="G47" s="1100"/>
      <c r="H47" s="1100"/>
      <c r="I47" s="1100"/>
      <c r="J47" s="1100"/>
      <c r="K47" s="1100"/>
      <c r="L47" s="1100"/>
      <c r="M47" s="1100"/>
      <c r="N47" s="1100"/>
      <c r="O47" s="1100"/>
      <c r="P47" s="1100"/>
      <c r="Q47" s="1100"/>
      <c r="R47" s="1100"/>
      <c r="S47" s="1100"/>
      <c r="T47" s="1100"/>
      <c r="U47" s="1100"/>
      <c r="V47" s="1100"/>
      <c r="W47" s="1100"/>
      <c r="X47" s="429"/>
      <c r="AH47" s="363"/>
    </row>
    <row r="48" spans="1:34" ht="12.75">
      <c r="A48" s="159" t="s">
        <v>11</v>
      </c>
      <c r="C48" s="1094">
        <f>IF(FIO="","",'общие сведения'!L35)</f>
      </c>
      <c r="D48" s="1094"/>
      <c r="E48" s="1094"/>
      <c r="F48" s="1094"/>
      <c r="G48" s="1094"/>
      <c r="H48" s="1094"/>
      <c r="I48" s="1094"/>
      <c r="J48" s="1094"/>
      <c r="K48" s="1094"/>
      <c r="L48" s="1094"/>
      <c r="M48" s="1094"/>
      <c r="N48" s="1094"/>
      <c r="O48" s="1094"/>
      <c r="P48" s="1094"/>
      <c r="Q48" s="1094"/>
      <c r="R48" s="1094"/>
      <c r="S48" s="1094"/>
      <c r="T48" s="1094"/>
      <c r="U48" s="1094"/>
      <c r="V48" s="1094"/>
      <c r="W48" s="1094"/>
      <c r="X48" s="429"/>
      <c r="AH48" s="363"/>
    </row>
    <row r="49" spans="1:34" ht="12.75" customHeight="1">
      <c r="A49" s="1094">
        <f>IF(FIO="","",'общие сведения'!L36)</f>
      </c>
      <c r="B49" s="1094"/>
      <c r="C49" s="1094"/>
      <c r="D49" s="1094"/>
      <c r="E49" s="1094"/>
      <c r="F49" s="1094"/>
      <c r="G49" s="1094"/>
      <c r="H49" s="1094"/>
      <c r="I49" s="1094"/>
      <c r="J49" s="1094"/>
      <c r="K49" s="1094"/>
      <c r="L49" s="1094"/>
      <c r="M49" s="1094"/>
      <c r="N49" s="1094"/>
      <c r="O49" s="1094"/>
      <c r="P49" s="1094"/>
      <c r="Q49" s="1094"/>
      <c r="R49" s="1094"/>
      <c r="S49" s="1094"/>
      <c r="T49" s="1094"/>
      <c r="U49" s="1094"/>
      <c r="V49" s="1094"/>
      <c r="W49" s="1094"/>
      <c r="X49" s="429"/>
      <c r="AH49" s="363"/>
    </row>
    <row r="50" spans="1:34" ht="12.75">
      <c r="A50" s="1094">
        <f>IF(FIO="","",'общие сведения'!L37)</f>
      </c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429"/>
      <c r="AH50" s="363"/>
    </row>
    <row r="51" spans="1:34" ht="12.75">
      <c r="A51" s="159" t="s">
        <v>10</v>
      </c>
      <c r="E51" s="235">
        <f>IF(FIO="","",'общие сведения'!L33)</f>
      </c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429"/>
      <c r="AH51" s="363"/>
    </row>
    <row r="52" spans="1:34" ht="12.75" customHeight="1">
      <c r="A52" s="159" t="s">
        <v>12</v>
      </c>
      <c r="D52" s="203">
        <f>IF(FIO="","",'общие сведения'!L39)</f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429"/>
      <c r="AH52" s="363"/>
    </row>
    <row r="53" spans="1:34" ht="12.75" customHeight="1">
      <c r="A53" s="159" t="s">
        <v>181</v>
      </c>
      <c r="D53" s="203">
        <f>IF(FIO="","",'общие сведения'!L40)</f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429"/>
      <c r="AH53" s="363"/>
    </row>
    <row r="54" spans="1:34" ht="12.75">
      <c r="A54" s="159" t="s">
        <v>14</v>
      </c>
      <c r="E54" s="229">
        <f>IF(FIO="","",'общие сведения'!D45)</f>
      </c>
      <c r="F54" s="229">
        <f>IF(FIO="","",'общие сведения'!E45)</f>
      </c>
      <c r="G54" s="235"/>
      <c r="H54" s="200"/>
      <c r="I54" s="163"/>
      <c r="J54" s="163"/>
      <c r="X54" s="429"/>
      <c r="AH54" s="363"/>
    </row>
    <row r="55" spans="1:34" ht="12.75">
      <c r="A55" s="159" t="s">
        <v>15</v>
      </c>
      <c r="G55" s="1103">
        <f>IF(OR(FIO="",'общие сведения'!D47=""),"",'общие сведения'!D47)</f>
      </c>
      <c r="H55" s="1103"/>
      <c r="I55" s="160"/>
      <c r="J55" s="160"/>
      <c r="K55" s="1102" t="s">
        <v>16</v>
      </c>
      <c r="L55" s="1102"/>
      <c r="M55" s="1102"/>
      <c r="N55" s="1102"/>
      <c r="O55" s="1102"/>
      <c r="P55" s="1101">
        <f>'общие сведения'!K47</f>
      </c>
      <c r="Q55" s="1101"/>
      <c r="R55" s="1101"/>
      <c r="S55" s="1101"/>
      <c r="X55" s="429"/>
      <c r="AH55" s="363"/>
    </row>
    <row r="56" spans="1:34" ht="12.75">
      <c r="A56" s="159" t="s">
        <v>18</v>
      </c>
      <c r="G56" s="1103">
        <f>IF(OR(FIO="",'общие сведения'!D49=""),"",'общие сведения'!D49)</f>
      </c>
      <c r="H56" s="1103"/>
      <c r="I56" s="160"/>
      <c r="J56" s="160"/>
      <c r="X56" s="429"/>
      <c r="AH56" s="363"/>
    </row>
    <row r="57" spans="1:34" ht="12.75">
      <c r="A57" s="159" t="s">
        <v>19</v>
      </c>
      <c r="C57" s="203">
        <f>IF(FIO="","",'общие сведения'!B51)</f>
      </c>
      <c r="D57" s="200"/>
      <c r="E57" s="200"/>
      <c r="F57" s="200"/>
      <c r="G57" s="200"/>
      <c r="H57" s="200"/>
      <c r="I57" s="163"/>
      <c r="J57" s="163"/>
      <c r="X57" s="429"/>
      <c r="Z57" s="379"/>
      <c r="AH57" s="363"/>
    </row>
    <row r="58" spans="1:34" ht="2.25" customHeight="1">
      <c r="A58" s="159"/>
      <c r="C58" s="205"/>
      <c r="D58" s="163"/>
      <c r="E58" s="163"/>
      <c r="F58" s="163"/>
      <c r="G58" s="163"/>
      <c r="H58" s="163"/>
      <c r="I58" s="163"/>
      <c r="J58" s="163"/>
      <c r="X58" s="429"/>
      <c r="AH58" s="363"/>
    </row>
    <row r="59" spans="1:34" ht="12.75" customHeight="1">
      <c r="A59" s="1108">
        <f>IF(FIO="","",CLEAN('общие сведения'!L54&amp;" "&amp;'общие сведения'!L58&amp;" "&amp;'общие сведения'!L62))</f>
      </c>
      <c r="B59" s="1108"/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429"/>
      <c r="Y59" s="642"/>
      <c r="Z59" s="380"/>
      <c r="AH59" s="363"/>
    </row>
    <row r="60" spans="1:34" ht="12.75" customHeight="1">
      <c r="A60" s="1108"/>
      <c r="B60" s="1108"/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108"/>
      <c r="X60" s="429"/>
      <c r="Y60" s="642"/>
      <c r="Z60" s="380"/>
      <c r="AH60" s="363"/>
    </row>
    <row r="61" spans="1:34" ht="12.75" customHeight="1">
      <c r="A61" s="1108"/>
      <c r="B61" s="1108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  <c r="M61" s="1108"/>
      <c r="N61" s="1108"/>
      <c r="O61" s="1108"/>
      <c r="P61" s="1108"/>
      <c r="Q61" s="1108"/>
      <c r="R61" s="1108"/>
      <c r="S61" s="1108"/>
      <c r="T61" s="1108"/>
      <c r="U61" s="1108"/>
      <c r="V61" s="1108"/>
      <c r="W61" s="1108"/>
      <c r="X61" s="429"/>
      <c r="Y61" s="642"/>
      <c r="Z61" s="380"/>
      <c r="AH61" s="363"/>
    </row>
    <row r="62" spans="1:34" ht="12.75" customHeight="1">
      <c r="A62" s="1108"/>
      <c r="B62" s="1108"/>
      <c r="C62" s="1108"/>
      <c r="D62" s="1108"/>
      <c r="E62" s="1108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429"/>
      <c r="Y62" s="643" t="str">
        <f>IF(SUM(Y59:Y61)&gt;0,"да","нет")</f>
        <v>нет</v>
      </c>
      <c r="Z62" s="380" t="s">
        <v>468</v>
      </c>
      <c r="AH62" s="363"/>
    </row>
    <row r="63" spans="1:65" ht="12.75">
      <c r="A63" s="1108"/>
      <c r="B63" s="1108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1108"/>
      <c r="V63" s="1108"/>
      <c r="W63" s="1108"/>
      <c r="X63" s="429"/>
      <c r="Y63" s="206"/>
      <c r="Z63" s="206"/>
      <c r="AA63" s="206"/>
      <c r="AB63" s="206"/>
      <c r="AC63" s="206"/>
      <c r="AD63" s="206"/>
      <c r="AE63" s="206"/>
      <c r="AF63" s="206"/>
      <c r="AG63" s="206"/>
      <c r="AH63" s="363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</row>
    <row r="64" spans="1:65" ht="21" customHeight="1">
      <c r="A64" s="165" t="s">
        <v>182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429"/>
      <c r="Y64" s="206"/>
      <c r="Z64" s="206"/>
      <c r="AA64" s="206"/>
      <c r="AB64" s="206"/>
      <c r="AC64" s="206"/>
      <c r="AD64" s="206"/>
      <c r="AE64" s="206"/>
      <c r="AF64" s="206"/>
      <c r="AG64" s="206"/>
      <c r="AH64" s="363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</row>
    <row r="65" spans="1:65" ht="17.25" customHeight="1">
      <c r="A65" s="166" t="str">
        <f>'общие сведения'!A78</f>
        <v>Курсы повышения квалификации</v>
      </c>
      <c r="B65" s="206"/>
      <c r="C65" s="206"/>
      <c r="D65" s="206"/>
      <c r="E65" s="206"/>
      <c r="F65" s="206"/>
      <c r="G65" s="206"/>
      <c r="K65" s="1041">
        <f>IF(FIO="","",'общие сведения'!G78)</f>
      </c>
      <c r="L65" s="1041"/>
      <c r="M65" s="159" t="s">
        <v>183</v>
      </c>
      <c r="N65" s="312"/>
      <c r="T65" s="167"/>
      <c r="U65" s="167"/>
      <c r="V65" s="167"/>
      <c r="W65" s="206"/>
      <c r="X65" s="429"/>
      <c r="Y65" s="206"/>
      <c r="Z65" s="206"/>
      <c r="AA65" s="206"/>
      <c r="AB65" s="206"/>
      <c r="AC65" s="206"/>
      <c r="AD65" s="206"/>
      <c r="AE65" s="206"/>
      <c r="AF65" s="206"/>
      <c r="AG65" s="206"/>
      <c r="AH65" s="363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</row>
    <row r="66" spans="1:65" ht="12.75">
      <c r="A66" s="16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429"/>
      <c r="Y66" s="206"/>
      <c r="Z66" s="206"/>
      <c r="AA66" s="206"/>
      <c r="AB66" s="206"/>
      <c r="AC66" s="206"/>
      <c r="AD66" s="206"/>
      <c r="AE66" s="206"/>
      <c r="AF66" s="206"/>
      <c r="AG66" s="206"/>
      <c r="AH66" s="363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</row>
    <row r="67" spans="1:34" ht="12.75" customHeight="1">
      <c r="A67" s="1108">
        <f>IF(FIO="","",CLEAN('общие сведения'!L73))</f>
      </c>
      <c r="B67" s="1108"/>
      <c r="C67" s="1108"/>
      <c r="D67" s="1108"/>
      <c r="E67" s="1108"/>
      <c r="F67" s="1108"/>
      <c r="G67" s="1108"/>
      <c r="H67" s="1108"/>
      <c r="I67" s="1108"/>
      <c r="J67" s="1108"/>
      <c r="K67" s="1108"/>
      <c r="L67" s="1108"/>
      <c r="M67" s="1108"/>
      <c r="N67" s="1108"/>
      <c r="O67" s="1108"/>
      <c r="P67" s="1108"/>
      <c r="Q67" s="1108"/>
      <c r="R67" s="1108"/>
      <c r="S67" s="1108"/>
      <c r="T67" s="1108"/>
      <c r="U67" s="1108"/>
      <c r="V67" s="1108"/>
      <c r="W67" s="1108"/>
      <c r="X67" s="429"/>
      <c r="AH67" s="363"/>
    </row>
    <row r="68" spans="1:34" ht="12.75" customHeight="1">
      <c r="A68" s="1108"/>
      <c r="B68" s="1108"/>
      <c r="C68" s="1108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429"/>
      <c r="AH68" s="363"/>
    </row>
    <row r="69" spans="1:34" ht="12.75" customHeight="1">
      <c r="A69" s="1108"/>
      <c r="B69" s="1108"/>
      <c r="C69" s="1108"/>
      <c r="D69" s="1108"/>
      <c r="E69" s="1108"/>
      <c r="F69" s="1108"/>
      <c r="G69" s="1108"/>
      <c r="H69" s="1108"/>
      <c r="I69" s="1108"/>
      <c r="J69" s="1108"/>
      <c r="K69" s="1108"/>
      <c r="L69" s="1108"/>
      <c r="M69" s="1108"/>
      <c r="N69" s="1108"/>
      <c r="O69" s="1108"/>
      <c r="P69" s="1108"/>
      <c r="Q69" s="1108"/>
      <c r="R69" s="1108"/>
      <c r="S69" s="1108"/>
      <c r="T69" s="1108"/>
      <c r="U69" s="1108"/>
      <c r="V69" s="1108"/>
      <c r="W69" s="1108"/>
      <c r="X69" s="429"/>
      <c r="AH69" s="363"/>
    </row>
    <row r="70" spans="1:34" ht="12.75" customHeight="1">
      <c r="A70" s="1108"/>
      <c r="B70" s="1108"/>
      <c r="C70" s="1108"/>
      <c r="D70" s="1108"/>
      <c r="E70" s="1108"/>
      <c r="F70" s="1108"/>
      <c r="G70" s="1108"/>
      <c r="H70" s="1108"/>
      <c r="I70" s="1108"/>
      <c r="J70" s="1108"/>
      <c r="K70" s="1108"/>
      <c r="L70" s="1108"/>
      <c r="M70" s="1108"/>
      <c r="N70" s="1108"/>
      <c r="O70" s="1108"/>
      <c r="P70" s="1108"/>
      <c r="Q70" s="1108"/>
      <c r="R70" s="1108"/>
      <c r="S70" s="1108"/>
      <c r="T70" s="1108"/>
      <c r="U70" s="1108"/>
      <c r="V70" s="1108"/>
      <c r="W70" s="1108"/>
      <c r="X70" s="429"/>
      <c r="AH70" s="363"/>
    </row>
    <row r="71" spans="1:34" ht="21.75" customHeight="1">
      <c r="A71" s="165" t="s">
        <v>184</v>
      </c>
      <c r="X71" s="429"/>
      <c r="AD71" s="354" t="str">
        <f>'общие сведения'!O10</f>
        <v>порог для __первая__учитель-логопед</v>
      </c>
      <c r="AH71" s="363"/>
    </row>
    <row r="72" spans="1:34" ht="12.75">
      <c r="A72" s="1109" t="s">
        <v>185</v>
      </c>
      <c r="B72" s="1109"/>
      <c r="C72" s="1109"/>
      <c r="D72" s="1109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429"/>
      <c r="AB72" s="348" t="s">
        <v>414</v>
      </c>
      <c r="AC72" s="5">
        <f>z_kateg</f>
      </c>
      <c r="AD72" s="281">
        <f>'общие сведения'!P10</f>
        <v>260</v>
      </c>
      <c r="AH72" s="363"/>
    </row>
    <row r="73" spans="1:34" ht="12.75">
      <c r="A73" s="1109"/>
      <c r="B73" s="1109"/>
      <c r="C73" s="1109"/>
      <c r="D73" s="1109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1109"/>
      <c r="P73" s="1109"/>
      <c r="Q73" s="1109"/>
      <c r="R73" s="1109"/>
      <c r="S73" s="1109"/>
      <c r="T73" s="1109"/>
      <c r="U73" s="1109"/>
      <c r="V73" s="1109"/>
      <c r="W73" s="1109"/>
      <c r="X73" s="429"/>
      <c r="AB73" s="348" t="str">
        <f>AB178</f>
        <v>наличие внешних мониторингов </v>
      </c>
      <c r="AC73" s="5" t="str">
        <f>AB179</f>
        <v>нет</v>
      </c>
      <c r="AH73" s="363"/>
    </row>
    <row r="74" spans="1:34" ht="12.75">
      <c r="A74" s="1109"/>
      <c r="B74" s="1109"/>
      <c r="C74" s="1109"/>
      <c r="D74" s="1109"/>
      <c r="E74" s="1109"/>
      <c r="F74" s="1109"/>
      <c r="G74" s="1109"/>
      <c r="H74" s="1109"/>
      <c r="I74" s="1109"/>
      <c r="J74" s="1109"/>
      <c r="K74" s="1109"/>
      <c r="L74" s="1109"/>
      <c r="M74" s="1109"/>
      <c r="N74" s="1109"/>
      <c r="O74" s="1109"/>
      <c r="P74" s="1109"/>
      <c r="Q74" s="1109"/>
      <c r="R74" s="1109"/>
      <c r="S74" s="1109"/>
      <c r="T74" s="1109"/>
      <c r="U74" s="1109"/>
      <c r="V74" s="1109"/>
      <c r="W74" s="1109"/>
      <c r="X74" s="429"/>
      <c r="AH74" s="363"/>
    </row>
    <row r="75" spans="1:65" ht="12.75" customHeight="1">
      <c r="A75" s="159" t="s">
        <v>186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429"/>
      <c r="Y75" s="169"/>
      <c r="Z75" s="240"/>
      <c r="AB75" s="240" t="s">
        <v>208</v>
      </c>
      <c r="AC75" s="240" t="s">
        <v>283</v>
      </c>
      <c r="AD75" s="280"/>
      <c r="AE75" s="307" t="s">
        <v>408</v>
      </c>
      <c r="AH75" s="363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</row>
    <row r="76" spans="1:34" ht="12.75">
      <c r="A76" s="236" t="s">
        <v>187</v>
      </c>
      <c r="B76" s="159" t="str">
        <f>B112</f>
        <v>Продуктивность образовательной деятельности</v>
      </c>
      <c r="T76" s="12"/>
      <c r="U76" s="234">
        <f>IF(FIO="","",итого_1)</f>
      </c>
      <c r="V76" s="140"/>
      <c r="W76" s="164" t="s">
        <v>188</v>
      </c>
      <c r="X76" s="429"/>
      <c r="Z76" s="347" t="s">
        <v>409</v>
      </c>
      <c r="AB76" s="258">
        <f>AB112</f>
        <v>100</v>
      </c>
      <c r="AC76" s="308">
        <f>AC112</f>
        <v>60</v>
      </c>
      <c r="AD76" s="179"/>
      <c r="AE76" s="240" t="b">
        <f>U76&gt;=AC76</f>
        <v>1</v>
      </c>
      <c r="AF76" s="5">
        <f>IF(AG76&gt;=AC76,1,0)</f>
        <v>0</v>
      </c>
      <c r="AH76" s="363"/>
    </row>
    <row r="77" spans="1:34" ht="12.75">
      <c r="A77" s="236" t="s">
        <v>189</v>
      </c>
      <c r="B77" s="159" t="str">
        <f>B182</f>
        <v>Продуктивность деятельности педагогического работника по развитию обучающихся/воспитанников</v>
      </c>
      <c r="T77" s="12"/>
      <c r="U77" s="230">
        <f>IF(FIO="","",итого_2)</f>
      </c>
      <c r="V77" s="310"/>
      <c r="W77" s="164" t="s">
        <v>188</v>
      </c>
      <c r="X77" s="429"/>
      <c r="Z77" s="347" t="s">
        <v>410</v>
      </c>
      <c r="AB77" s="258">
        <f>AB182</f>
        <v>340</v>
      </c>
      <c r="AC77" s="308">
        <f>AC182</f>
        <v>20</v>
      </c>
      <c r="AD77" s="179"/>
      <c r="AE77" s="240" t="b">
        <f>U77&gt;=AC77</f>
        <v>1</v>
      </c>
      <c r="AF77" s="5">
        <f>IF(AG77&gt;=AC77,1,0)</f>
        <v>0</v>
      </c>
      <c r="AH77" s="363"/>
    </row>
    <row r="78" spans="1:34" ht="12.75">
      <c r="A78" s="236" t="s">
        <v>190</v>
      </c>
      <c r="B78" s="159" t="str">
        <f>B268</f>
        <v>Продуктивность личного вклада педагогического работника в повышение качества образования</v>
      </c>
      <c r="T78" s="12"/>
      <c r="U78" s="231">
        <f>IF(FIO="","",итого_3)</f>
      </c>
      <c r="V78" s="310"/>
      <c r="W78" s="164" t="s">
        <v>188</v>
      </c>
      <c r="X78" s="429"/>
      <c r="Z78" s="347" t="s">
        <v>411</v>
      </c>
      <c r="AB78" s="258">
        <f>AB269</f>
        <v>970</v>
      </c>
      <c r="AC78" s="308">
        <f>AC269</f>
        <v>70</v>
      </c>
      <c r="AD78" s="179"/>
      <c r="AE78" s="240" t="b">
        <f>U78&gt;=AC78</f>
        <v>1</v>
      </c>
      <c r="AF78" s="5">
        <f>IF(AG78&gt;=AC78,1,0)</f>
        <v>0</v>
      </c>
      <c r="AH78" s="363"/>
    </row>
    <row r="79" spans="1:34" ht="12.75">
      <c r="A79" s="236" t="s">
        <v>191</v>
      </c>
      <c r="B79" s="159" t="str">
        <f>B456</f>
        <v>Профессиональная компетентность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2"/>
      <c r="U79" s="231">
        <f>IF(FIO="","",итого_4)</f>
      </c>
      <c r="V79" s="310"/>
      <c r="W79" s="164" t="s">
        <v>188</v>
      </c>
      <c r="X79" s="429"/>
      <c r="Z79" s="347" t="s">
        <v>412</v>
      </c>
      <c r="AB79" s="258">
        <f>AB456</f>
        <v>250</v>
      </c>
      <c r="AC79" s="258">
        <f>AC456</f>
        <v>0</v>
      </c>
      <c r="AD79" s="290"/>
      <c r="AE79" s="240" t="b">
        <f>U79&gt;=AC79</f>
        <v>1</v>
      </c>
      <c r="AF79" s="5">
        <f>IF(AG79&gt;=AC79,1,0)</f>
        <v>1</v>
      </c>
      <c r="AH79" s="363"/>
    </row>
    <row r="80" spans="20:34" ht="3" customHeight="1">
      <c r="T80" s="12"/>
      <c r="U80" s="236"/>
      <c r="V80" s="236"/>
      <c r="W80" s="170"/>
      <c r="X80" s="429"/>
      <c r="AD80" s="280"/>
      <c r="AH80" s="363"/>
    </row>
    <row r="81" spans="2:34" ht="12.75">
      <c r="B81" s="211" t="s">
        <v>280</v>
      </c>
      <c r="T81" s="12"/>
      <c r="U81" s="228">
        <f>IF(FIO="","",Всего)</f>
      </c>
      <c r="V81" s="160"/>
      <c r="W81" s="164" t="s">
        <v>188</v>
      </c>
      <c r="X81" s="429"/>
      <c r="Y81" s="357" t="s">
        <v>416</v>
      </c>
      <c r="Z81" s="358">
        <f>IF(FIO="","",SUM(U76:U79))</f>
      </c>
      <c r="AA81" s="5" t="s">
        <v>415</v>
      </c>
      <c r="AB81" s="258">
        <f>SUM(AB76:AB79)</f>
        <v>1660</v>
      </c>
      <c r="AC81" s="308">
        <f>SUM(AC76:AC79)</f>
        <v>150</v>
      </c>
      <c r="AD81" s="291"/>
      <c r="AE81" s="157" t="str">
        <f>IF(AF81&gt;3," СООТВЕТСТВУЕТ","  НЕ СООТВЕТСТВУЕТ")</f>
        <v>  НЕ СООТВЕТСТВУЕТ</v>
      </c>
      <c r="AF81" s="5">
        <f>SUM(AF76:AF80)</f>
        <v>1</v>
      </c>
      <c r="AH81" s="363"/>
    </row>
    <row r="82" spans="23:34" ht="12" customHeight="1">
      <c r="W82" s="169"/>
      <c r="X82" s="429"/>
      <c r="Y82" s="355" t="s">
        <v>507</v>
      </c>
      <c r="Z82" s="356" t="str">
        <f>IF(H84="","_",IF(Всего&gt;=AD72," СООТВЕТСТВУЕТ","  НЕ СООТВЕТСТВУЕТ"))</f>
        <v>_</v>
      </c>
      <c r="AD82" s="288"/>
      <c r="AE82" s="288"/>
      <c r="AF82" s="288"/>
      <c r="AH82" s="363"/>
    </row>
    <row r="83" spans="1:34" s="158" customFormat="1" ht="12.75">
      <c r="A83" s="326" t="s">
        <v>463</v>
      </c>
      <c r="B83" s="319"/>
      <c r="C83" s="319"/>
      <c r="D83" s="319"/>
      <c r="E83" s="386"/>
      <c r="F83" s="386"/>
      <c r="G83" s="327"/>
      <c r="H83" s="327"/>
      <c r="I83" s="327"/>
      <c r="K83" s="387">
        <f>IF(OR(Всего="",FIO=""),"",Y35&amp;Z82)</f>
      </c>
      <c r="L83" s="327"/>
      <c r="M83" s="327"/>
      <c r="N83" s="327"/>
      <c r="O83" s="327"/>
      <c r="P83" s="332"/>
      <c r="Q83" s="320"/>
      <c r="R83" s="320"/>
      <c r="S83" s="361" t="s">
        <v>464</v>
      </c>
      <c r="V83" s="328"/>
      <c r="X83" s="429"/>
      <c r="Z83" s="356" t="str">
        <f>CONCATENATE(A83,K83,S83)</f>
        <v>Уровень квалификации    требованиям,  </v>
      </c>
      <c r="AG83" s="5"/>
      <c r="AH83" s="363"/>
    </row>
    <row r="84" spans="1:34" s="158" customFormat="1" ht="12.75">
      <c r="A84" s="326" t="s">
        <v>462</v>
      </c>
      <c r="B84" s="319"/>
      <c r="C84" s="319"/>
      <c r="D84" s="319"/>
      <c r="E84" s="319"/>
      <c r="G84" s="359"/>
      <c r="H84" s="229">
        <f>IF(OR(G56="",FIO="",Z81=""),"",IF(G56="первая","первой","высшей"))</f>
      </c>
      <c r="I84" s="235"/>
      <c r="J84" s="235"/>
      <c r="K84" s="329" t="s">
        <v>461</v>
      </c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X84" s="429"/>
      <c r="Z84" s="356" t="str">
        <f>CONCATENATE(A84,H84,K84)</f>
        <v>предъявляемым к заявленной      квалификационной категории. </v>
      </c>
      <c r="AH84" s="363"/>
    </row>
    <row r="85" spans="1:34" s="158" customFormat="1" ht="7.5" customHeight="1">
      <c r="A85" s="246"/>
      <c r="X85" s="429"/>
      <c r="AH85" s="363"/>
    </row>
    <row r="86" spans="1:34" s="158" customFormat="1" ht="12.75">
      <c r="A86" s="598" t="s">
        <v>668</v>
      </c>
      <c r="X86" s="429"/>
      <c r="Y86" s="644" t="s">
        <v>260</v>
      </c>
      <c r="Z86" s="363">
        <f>'общие сведения'!A127</f>
      </c>
      <c r="AH86" s="363"/>
    </row>
    <row r="87" spans="1:34" ht="12.75" customHeight="1">
      <c r="A87" s="601"/>
      <c r="B87" s="601"/>
      <c r="C87" s="601"/>
      <c r="D87" s="931">
        <f>IF(OR(FIO="",ISERR(Z86)),"",Z86)</f>
      </c>
      <c r="E87" s="931"/>
      <c r="F87" s="931"/>
      <c r="G87" s="931"/>
      <c r="H87" s="931"/>
      <c r="I87" s="931"/>
      <c r="J87" s="931"/>
      <c r="K87" s="931"/>
      <c r="L87" s="931"/>
      <c r="M87" s="931"/>
      <c r="N87" s="931"/>
      <c r="O87" s="931"/>
      <c r="P87" s="931"/>
      <c r="Q87" s="931"/>
      <c r="R87" s="931"/>
      <c r="S87" s="931"/>
      <c r="T87" s="931"/>
      <c r="U87" s="931"/>
      <c r="V87" s="931"/>
      <c r="W87" s="931"/>
      <c r="X87" s="429"/>
      <c r="AH87" s="363"/>
    </row>
    <row r="88" spans="1:34" ht="12.75" customHeight="1">
      <c r="A88" s="601"/>
      <c r="B88" s="601"/>
      <c r="C88" s="601"/>
      <c r="D88" s="931"/>
      <c r="E88" s="931"/>
      <c r="F88" s="931"/>
      <c r="G88" s="931"/>
      <c r="H88" s="931"/>
      <c r="I88" s="931"/>
      <c r="J88" s="931"/>
      <c r="K88" s="931"/>
      <c r="L88" s="931"/>
      <c r="M88" s="931"/>
      <c r="N88" s="931"/>
      <c r="O88" s="931"/>
      <c r="P88" s="931"/>
      <c r="Q88" s="931"/>
      <c r="R88" s="931"/>
      <c r="S88" s="931"/>
      <c r="T88" s="931"/>
      <c r="U88" s="931"/>
      <c r="V88" s="931"/>
      <c r="W88" s="931"/>
      <c r="X88" s="429"/>
      <c r="AH88" s="363"/>
    </row>
    <row r="89" spans="1:34" ht="15" hidden="1">
      <c r="A89" s="601"/>
      <c r="B89" s="601"/>
      <c r="C89" s="60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1"/>
      <c r="V89" s="931"/>
      <c r="W89" s="931"/>
      <c r="X89" s="429"/>
      <c r="AH89" s="363"/>
    </row>
    <row r="90" spans="1:34" ht="15" hidden="1">
      <c r="A90" s="601"/>
      <c r="B90" s="601"/>
      <c r="C90" s="601"/>
      <c r="D90" s="601"/>
      <c r="E90" s="601"/>
      <c r="F90" s="601"/>
      <c r="G90" s="601"/>
      <c r="H90" s="601"/>
      <c r="I90" s="601"/>
      <c r="J90" s="601"/>
      <c r="K90" s="601"/>
      <c r="L90" s="601"/>
      <c r="M90" s="601"/>
      <c r="N90" s="601"/>
      <c r="O90" s="601"/>
      <c r="P90" s="601"/>
      <c r="Q90" s="601"/>
      <c r="R90" s="601"/>
      <c r="S90" s="601"/>
      <c r="T90" s="601"/>
      <c r="U90" s="601"/>
      <c r="V90" s="601"/>
      <c r="W90" s="601"/>
      <c r="X90" s="429"/>
      <c r="AH90" s="363"/>
    </row>
    <row r="91" spans="1:56" ht="12.75">
      <c r="A91" s="161" t="s">
        <v>50</v>
      </c>
      <c r="B91" s="161"/>
      <c r="C91" s="172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71"/>
      <c r="T91" s="171"/>
      <c r="U91" s="171"/>
      <c r="V91" s="171"/>
      <c r="W91" s="171"/>
      <c r="X91" s="429"/>
      <c r="Y91" s="171"/>
      <c r="Z91" s="171"/>
      <c r="AA91" s="171"/>
      <c r="AB91" s="171"/>
      <c r="AC91" s="171"/>
      <c r="AD91" s="171"/>
      <c r="AE91" s="171"/>
      <c r="AF91" s="171"/>
      <c r="AG91" s="171"/>
      <c r="AH91" s="363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</row>
    <row r="92" spans="1:56" ht="12.75">
      <c r="A92" s="161" t="s">
        <v>194</v>
      </c>
      <c r="B92" s="161"/>
      <c r="C92" s="172"/>
      <c r="D92" s="173"/>
      <c r="E92" s="173"/>
      <c r="F92" s="173"/>
      <c r="G92" s="161"/>
      <c r="H92" s="933">
        <f>IF(FIO&lt;&gt;"",IF('общие сведения'!M110&lt;&gt;"",'общие сведения'!M110,""),"")</f>
      </c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429"/>
      <c r="Y92" s="171"/>
      <c r="Z92" s="171"/>
      <c r="AA92" s="171"/>
      <c r="AB92" s="171"/>
      <c r="AC92" s="171"/>
      <c r="AD92" s="171"/>
      <c r="AE92" s="171"/>
      <c r="AF92" s="171"/>
      <c r="AG92" s="171"/>
      <c r="AH92" s="363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</row>
    <row r="93" spans="1:56" ht="12.75" customHeight="1">
      <c r="A93" s="161" t="s">
        <v>281</v>
      </c>
      <c r="B93" s="161"/>
      <c r="C93" s="161"/>
      <c r="D93" s="12"/>
      <c r="E93" s="192"/>
      <c r="F93" s="192"/>
      <c r="G93" s="192"/>
      <c r="H93" s="1110" t="s">
        <v>54</v>
      </c>
      <c r="I93" s="1110"/>
      <c r="J93" s="1110"/>
      <c r="K93" s="1110"/>
      <c r="L93" s="1110"/>
      <c r="M93" s="1110"/>
      <c r="N93" s="1110"/>
      <c r="O93" s="1110"/>
      <c r="P93" s="1110"/>
      <c r="Q93" s="1110"/>
      <c r="R93" s="1110"/>
      <c r="S93" s="1110"/>
      <c r="T93" s="1110"/>
      <c r="U93" s="1110"/>
      <c r="V93" s="1110"/>
      <c r="W93" s="1110"/>
      <c r="X93" s="429"/>
      <c r="Y93" s="192"/>
      <c r="Z93" s="192"/>
      <c r="AA93" s="192"/>
      <c r="AB93" s="192"/>
      <c r="AC93" s="192"/>
      <c r="AD93" s="192"/>
      <c r="AE93" s="192"/>
      <c r="AF93" s="192"/>
      <c r="AG93" s="192"/>
      <c r="AH93" s="363"/>
      <c r="AI93" s="192"/>
      <c r="AJ93" s="192"/>
      <c r="AK93" s="192"/>
      <c r="AL93" s="192"/>
      <c r="AM93" s="192"/>
      <c r="AN93" s="192"/>
      <c r="AO93" s="192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</row>
    <row r="94" spans="1:34" ht="12.75">
      <c r="A94" s="161" t="s">
        <v>282</v>
      </c>
      <c r="B94" s="161"/>
      <c r="C94" s="161"/>
      <c r="D94" s="173"/>
      <c r="E94" s="173"/>
      <c r="F94" s="173"/>
      <c r="G94" s="161"/>
      <c r="H94" s="933">
        <f>IF(FIO&lt;&gt;"",IF('общие сведения'!M112&lt;&gt;"",'общие сведения'!M112,""),"")</f>
      </c>
      <c r="I94" s="933"/>
      <c r="J94" s="933"/>
      <c r="K94" s="933"/>
      <c r="L94" s="933"/>
      <c r="M94" s="933"/>
      <c r="N94" s="933"/>
      <c r="O94" s="933"/>
      <c r="P94" s="933"/>
      <c r="Q94" s="933"/>
      <c r="R94" s="933"/>
      <c r="S94" s="933"/>
      <c r="T94" s="933"/>
      <c r="U94" s="933"/>
      <c r="V94" s="933"/>
      <c r="W94" s="933"/>
      <c r="X94" s="429"/>
      <c r="AH94" s="363"/>
    </row>
    <row r="95" spans="8:34" ht="13.5">
      <c r="H95" s="1110" t="s">
        <v>54</v>
      </c>
      <c r="I95" s="1110"/>
      <c r="J95" s="1110"/>
      <c r="K95" s="1110"/>
      <c r="L95" s="1110"/>
      <c r="M95" s="1110"/>
      <c r="N95" s="1110"/>
      <c r="O95" s="1110"/>
      <c r="P95" s="1110"/>
      <c r="Q95" s="1110"/>
      <c r="R95" s="1110"/>
      <c r="S95" s="1110"/>
      <c r="T95" s="1110"/>
      <c r="U95" s="1110"/>
      <c r="V95" s="1110"/>
      <c r="W95" s="1110"/>
      <c r="X95" s="429"/>
      <c r="AH95" s="363"/>
    </row>
    <row r="96" spans="4:34" ht="12.75">
      <c r="D96" s="138"/>
      <c r="E96" s="138"/>
      <c r="F96" s="138"/>
      <c r="H96" s="933">
        <f>IF(FIO&lt;&gt;"",IF('общие сведения'!M114&lt;&gt;"",'общие сведения'!M114,""),"")</f>
      </c>
      <c r="I96" s="933"/>
      <c r="J96" s="933"/>
      <c r="K96" s="933"/>
      <c r="L96" s="933"/>
      <c r="M96" s="933"/>
      <c r="N96" s="933"/>
      <c r="O96" s="933"/>
      <c r="P96" s="933"/>
      <c r="Q96" s="933"/>
      <c r="R96" s="933"/>
      <c r="S96" s="933"/>
      <c r="T96" s="933"/>
      <c r="U96" s="933"/>
      <c r="V96" s="933"/>
      <c r="W96" s="933"/>
      <c r="X96" s="429"/>
      <c r="AH96" s="363"/>
    </row>
    <row r="97" spans="8:34" ht="13.5">
      <c r="H97" s="934" t="s">
        <v>54</v>
      </c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429"/>
      <c r="AH97" s="363"/>
    </row>
    <row r="98" spans="4:34" ht="12.75" hidden="1">
      <c r="D98" s="138"/>
      <c r="E98" s="138"/>
      <c r="F98" s="138"/>
      <c r="H98" s="933">
        <f>IF(FIO&lt;&gt;"",IF('общие сведения'!M116&lt;&gt;"",'общие сведения'!M116,""),"")</f>
      </c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429"/>
      <c r="AH98" s="363"/>
    </row>
    <row r="99" spans="8:34" ht="13.5" hidden="1">
      <c r="H99" s="934" t="s">
        <v>54</v>
      </c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429"/>
      <c r="AH99" s="363"/>
    </row>
    <row r="100" spans="2:40" ht="12.75">
      <c r="B100" s="161"/>
      <c r="C100" s="1142" t="s">
        <v>195</v>
      </c>
      <c r="D100" s="1142"/>
      <c r="E100" s="1142"/>
      <c r="F100" s="1142"/>
      <c r="G100" s="1142"/>
      <c r="H100" s="1142"/>
      <c r="I100" s="1142"/>
      <c r="J100" s="1142"/>
      <c r="K100" s="1142"/>
      <c r="L100" s="1143" t="str">
        <f>'общие сведения'!K119</f>
        <v>« __ » ___________  20__ г.</v>
      </c>
      <c r="M100" s="1143"/>
      <c r="N100" s="1143"/>
      <c r="O100" s="1143"/>
      <c r="P100" s="1143"/>
      <c r="Q100" s="1143"/>
      <c r="R100" s="1143"/>
      <c r="S100" s="311"/>
      <c r="T100" s="311"/>
      <c r="U100" s="311"/>
      <c r="V100" s="311"/>
      <c r="X100" s="429"/>
      <c r="AH100" s="363"/>
      <c r="AI100" s="161"/>
      <c r="AJ100" s="161"/>
      <c r="AK100" s="161"/>
      <c r="AL100" s="161"/>
      <c r="AM100" s="161"/>
      <c r="AN100" s="161"/>
    </row>
    <row r="101" spans="1:40" ht="3.75" customHeight="1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429"/>
      <c r="Y101" s="161"/>
      <c r="Z101" s="161"/>
      <c r="AA101" s="161"/>
      <c r="AH101" s="363"/>
      <c r="AI101" s="161"/>
      <c r="AJ101" s="161"/>
      <c r="AK101" s="161"/>
      <c r="AL101" s="161"/>
      <c r="AM101" s="161"/>
      <c r="AN101" s="161"/>
    </row>
    <row r="102" spans="1:34" ht="3" customHeight="1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429"/>
      <c r="Y102" s="161"/>
      <c r="Z102" s="161"/>
      <c r="AA102" s="161"/>
      <c r="AH102" s="363"/>
    </row>
    <row r="103" spans="1:34" ht="3" customHeight="1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429"/>
      <c r="AH103" s="363"/>
    </row>
    <row r="104" spans="1:34" ht="12.75">
      <c r="A104" s="24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429"/>
      <c r="AH104" s="363"/>
    </row>
    <row r="105" spans="4:34" ht="14.25">
      <c r="D105" s="213" t="s">
        <v>196</v>
      </c>
      <c r="X105" s="429"/>
      <c r="AH105" s="363"/>
    </row>
    <row r="106" spans="24:34" ht="3" customHeight="1">
      <c r="X106" s="429"/>
      <c r="AH106" s="363"/>
    </row>
    <row r="107" spans="2:34" ht="12.75">
      <c r="B107" s="5" t="s">
        <v>197</v>
      </c>
      <c r="F107" s="138"/>
      <c r="G107" s="138"/>
      <c r="H107" s="174"/>
      <c r="I107" s="174"/>
      <c r="J107" s="212"/>
      <c r="K107" s="212"/>
      <c r="L107" s="1063">
        <f>IF(FIO&lt;&gt;"",FIO,"")</f>
      </c>
      <c r="M107" s="1063"/>
      <c r="N107" s="1063"/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429"/>
      <c r="AH107" s="363"/>
    </row>
    <row r="108" spans="6:34" ht="16.5" customHeight="1">
      <c r="F108" s="1134" t="s">
        <v>198</v>
      </c>
      <c r="G108" s="1134"/>
      <c r="H108" s="1134"/>
      <c r="I108" s="1134"/>
      <c r="J108" s="175"/>
      <c r="L108" s="934" t="s">
        <v>54</v>
      </c>
      <c r="M108" s="934"/>
      <c r="N108" s="934"/>
      <c r="O108" s="934"/>
      <c r="P108" s="934"/>
      <c r="Q108" s="934"/>
      <c r="R108" s="934"/>
      <c r="S108" s="934"/>
      <c r="T108" s="313"/>
      <c r="U108" s="313"/>
      <c r="V108" s="313"/>
      <c r="W108" s="313"/>
      <c r="X108" s="429"/>
      <c r="AH108" s="363"/>
    </row>
    <row r="109" spans="1:34" ht="25.5" customHeight="1">
      <c r="A109" s="930" t="s">
        <v>676</v>
      </c>
      <c r="B109" s="930"/>
      <c r="C109" s="930"/>
      <c r="D109" s="930"/>
      <c r="E109" s="930"/>
      <c r="F109" s="930"/>
      <c r="G109" s="930"/>
      <c r="H109" s="930"/>
      <c r="I109" s="930"/>
      <c r="J109" s="930"/>
      <c r="K109" s="930"/>
      <c r="L109" s="930"/>
      <c r="M109" s="930"/>
      <c r="N109" s="930"/>
      <c r="O109" s="930"/>
      <c r="P109" s="930"/>
      <c r="Q109" s="930"/>
      <c r="R109" s="930"/>
      <c r="S109" s="930"/>
      <c r="T109" s="930"/>
      <c r="U109" s="930"/>
      <c r="V109" s="930"/>
      <c r="W109" s="930"/>
      <c r="X109" s="429"/>
      <c r="AH109" s="363"/>
    </row>
    <row r="110" spans="1:34" ht="20.25" customHeight="1">
      <c r="A110" s="1073" t="s">
        <v>199</v>
      </c>
      <c r="B110" s="1073"/>
      <c r="C110" s="1073"/>
      <c r="D110" s="1073"/>
      <c r="E110" s="1073"/>
      <c r="F110" s="1073"/>
      <c r="G110" s="1073"/>
      <c r="H110" s="1073"/>
      <c r="I110" s="1073"/>
      <c r="J110" s="1073"/>
      <c r="K110" s="1073"/>
      <c r="L110" s="1073"/>
      <c r="M110" s="1073"/>
      <c r="N110" s="1073"/>
      <c r="O110" s="1073"/>
      <c r="P110" s="1073"/>
      <c r="Q110" s="1073"/>
      <c r="R110" s="1073"/>
      <c r="S110" s="1073"/>
      <c r="T110" s="1073"/>
      <c r="U110" s="1073"/>
      <c r="V110" s="1073"/>
      <c r="W110" s="1073"/>
      <c r="X110" s="429"/>
      <c r="Y110" s="176" t="s">
        <v>207</v>
      </c>
      <c r="AA110" s="240" t="s">
        <v>284</v>
      </c>
      <c r="AB110" s="240" t="s">
        <v>208</v>
      </c>
      <c r="AC110" s="273" t="s">
        <v>283</v>
      </c>
      <c r="AE110" s="307" t="s">
        <v>408</v>
      </c>
      <c r="AH110" s="363"/>
    </row>
    <row r="111" spans="1:45" ht="9" customHeight="1">
      <c r="A111" s="249"/>
      <c r="X111" s="429"/>
      <c r="AH111" s="363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39" t="s">
        <v>266</v>
      </c>
      <c r="B112" s="249" t="s">
        <v>200</v>
      </c>
      <c r="X112" s="429"/>
      <c r="Y112" s="282" t="str">
        <f>A112</f>
        <v>1. </v>
      </c>
      <c r="Z112" s="260" t="s">
        <v>286</v>
      </c>
      <c r="AA112" s="257">
        <f>SUM(Y114:Y180)</f>
        <v>0</v>
      </c>
      <c r="AB112" s="258">
        <f>SUM(Z114:Z180)</f>
        <v>100</v>
      </c>
      <c r="AC112" s="308">
        <f>SUM(AA114:AA180)</f>
        <v>60</v>
      </c>
      <c r="AE112" s="307" t="b">
        <f>итого_1&gt;=AC112</f>
        <v>0</v>
      </c>
      <c r="AH112" s="363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80" t="s">
        <v>201</v>
      </c>
      <c r="B113" s="1080"/>
      <c r="C113" s="1080"/>
      <c r="D113" s="1080"/>
      <c r="E113" s="1080"/>
      <c r="F113" s="1080"/>
      <c r="G113" s="1080"/>
      <c r="H113" s="1080"/>
      <c r="I113" s="1080"/>
      <c r="J113" s="1080"/>
      <c r="K113" s="1080"/>
      <c r="L113" s="1080"/>
      <c r="M113" s="1080"/>
      <c r="N113" s="1080"/>
      <c r="O113" s="1080"/>
      <c r="P113" s="1080"/>
      <c r="Q113" s="1080"/>
      <c r="R113" s="1080"/>
      <c r="S113" s="1080"/>
      <c r="T113" s="1080"/>
      <c r="U113" s="1080"/>
      <c r="V113" s="1080"/>
      <c r="W113" s="1080"/>
      <c r="X113" s="429"/>
      <c r="AG113" s="12"/>
      <c r="AH113" s="36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193" t="s">
        <v>202</v>
      </c>
      <c r="B114" s="1122" t="s">
        <v>747</v>
      </c>
      <c r="C114" s="1122"/>
      <c r="D114" s="1122"/>
      <c r="E114" s="1122"/>
      <c r="F114" s="1122"/>
      <c r="G114" s="1122"/>
      <c r="H114" s="1122"/>
      <c r="I114" s="1122"/>
      <c r="J114" s="1122"/>
      <c r="K114" s="1122"/>
      <c r="L114" s="1122"/>
      <c r="M114" s="1122"/>
      <c r="N114" s="1122"/>
      <c r="O114" s="1122"/>
      <c r="P114" s="1122"/>
      <c r="Q114" s="1122"/>
      <c r="R114" s="1122"/>
      <c r="S114" s="1122"/>
      <c r="T114" s="1122"/>
      <c r="U114" s="1122"/>
      <c r="V114" s="1122"/>
      <c r="W114" s="1122"/>
      <c r="X114" s="429"/>
      <c r="Z114" s="12"/>
      <c r="AA114" s="12"/>
      <c r="AB114" s="12"/>
      <c r="AC114" s="12"/>
      <c r="AD114" s="12"/>
      <c r="AG114" s="12"/>
      <c r="AH114" s="36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50"/>
      <c r="B115" s="1122"/>
      <c r="C115" s="1122"/>
      <c r="D115" s="1122"/>
      <c r="E115" s="1122"/>
      <c r="F115" s="1122"/>
      <c r="G115" s="1122"/>
      <c r="H115" s="1122"/>
      <c r="I115" s="1122"/>
      <c r="J115" s="1122"/>
      <c r="K115" s="1122"/>
      <c r="L115" s="1122"/>
      <c r="M115" s="1122"/>
      <c r="N115" s="1122"/>
      <c r="O115" s="1122"/>
      <c r="P115" s="1122"/>
      <c r="Q115" s="1122"/>
      <c r="R115" s="1122"/>
      <c r="S115" s="1122"/>
      <c r="T115" s="1122"/>
      <c r="U115" s="1122"/>
      <c r="V115" s="1122"/>
      <c r="W115" s="1122"/>
      <c r="X115" s="429"/>
      <c r="Z115" s="12"/>
      <c r="AA115" s="12"/>
      <c r="AB115" s="12"/>
      <c r="AC115" s="12"/>
      <c r="AD115" s="12"/>
      <c r="AG115" s="12"/>
      <c r="AH115" s="36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0"/>
      <c r="B116" s="1122"/>
      <c r="C116" s="1122"/>
      <c r="D116" s="1122"/>
      <c r="E116" s="1122"/>
      <c r="F116" s="1122"/>
      <c r="G116" s="1122"/>
      <c r="H116" s="1122"/>
      <c r="I116" s="1122"/>
      <c r="J116" s="1122"/>
      <c r="K116" s="1122"/>
      <c r="L116" s="1122"/>
      <c r="M116" s="1122"/>
      <c r="N116" s="1122"/>
      <c r="O116" s="1122"/>
      <c r="P116" s="1122"/>
      <c r="Q116" s="1122"/>
      <c r="R116" s="1122"/>
      <c r="S116" s="1122"/>
      <c r="T116" s="1122"/>
      <c r="U116" s="1122"/>
      <c r="V116" s="1122"/>
      <c r="W116" s="1122"/>
      <c r="X116" s="429"/>
      <c r="Z116" s="12"/>
      <c r="AA116" s="12"/>
      <c r="AB116" s="12"/>
      <c r="AC116" s="12"/>
      <c r="AD116" s="12"/>
      <c r="AG116" s="12"/>
      <c r="AH116" s="36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50"/>
      <c r="B117" s="1122"/>
      <c r="C117" s="1122"/>
      <c r="D117" s="1122"/>
      <c r="E117" s="1122"/>
      <c r="F117" s="1122"/>
      <c r="G117" s="1122"/>
      <c r="H117" s="1122"/>
      <c r="I117" s="1122"/>
      <c r="J117" s="1122"/>
      <c r="K117" s="1122"/>
      <c r="L117" s="1122"/>
      <c r="M117" s="1122"/>
      <c r="N117" s="1122"/>
      <c r="O117" s="1122"/>
      <c r="P117" s="1122"/>
      <c r="Q117" s="1122"/>
      <c r="R117" s="1122"/>
      <c r="S117" s="1122"/>
      <c r="T117" s="1122"/>
      <c r="U117" s="1122"/>
      <c r="V117" s="1122"/>
      <c r="W117" s="1122"/>
      <c r="X117" s="429"/>
      <c r="Z117" s="12"/>
      <c r="AA117" s="12"/>
      <c r="AB117" s="12"/>
      <c r="AC117" s="12"/>
      <c r="AD117" s="12"/>
      <c r="AE117" s="12"/>
      <c r="AF117" s="12"/>
      <c r="AG117" s="12"/>
      <c r="AH117" s="36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193" t="s">
        <v>202</v>
      </c>
      <c r="B118" s="1122" t="s">
        <v>745</v>
      </c>
      <c r="C118" s="1122"/>
      <c r="D118" s="1122"/>
      <c r="E118" s="1122"/>
      <c r="F118" s="1122"/>
      <c r="G118" s="1122"/>
      <c r="H118" s="1122"/>
      <c r="I118" s="1122"/>
      <c r="J118" s="1122"/>
      <c r="K118" s="1122"/>
      <c r="L118" s="1122"/>
      <c r="M118" s="1122"/>
      <c r="N118" s="1122"/>
      <c r="O118" s="1122"/>
      <c r="P118" s="1122"/>
      <c r="Q118" s="1122"/>
      <c r="R118" s="1122"/>
      <c r="S118" s="1122"/>
      <c r="T118" s="1122"/>
      <c r="U118" s="1122"/>
      <c r="V118" s="1122"/>
      <c r="W118" s="1122"/>
      <c r="X118" s="429"/>
      <c r="Z118" s="12"/>
      <c r="AA118" s="12"/>
      <c r="AB118" s="12"/>
      <c r="AC118" s="12"/>
      <c r="AD118" s="12"/>
      <c r="AE118" s="12"/>
      <c r="AF118" s="12"/>
      <c r="AG118" s="12"/>
      <c r="AH118" s="36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122"/>
      <c r="C119" s="1122"/>
      <c r="D119" s="1122"/>
      <c r="E119" s="1122"/>
      <c r="F119" s="1122"/>
      <c r="G119" s="1122"/>
      <c r="H119" s="1122"/>
      <c r="I119" s="1122"/>
      <c r="J119" s="1122"/>
      <c r="K119" s="1122"/>
      <c r="L119" s="1122"/>
      <c r="M119" s="1122"/>
      <c r="N119" s="1122"/>
      <c r="O119" s="1122"/>
      <c r="P119" s="1122"/>
      <c r="Q119" s="1122"/>
      <c r="R119" s="1122"/>
      <c r="S119" s="1122"/>
      <c r="T119" s="1122"/>
      <c r="U119" s="1122"/>
      <c r="V119" s="1122"/>
      <c r="W119" s="1122"/>
      <c r="X119" s="429"/>
      <c r="Z119" s="12"/>
      <c r="AA119" s="12"/>
      <c r="AB119" s="12"/>
      <c r="AC119" s="12"/>
      <c r="AD119" s="12"/>
      <c r="AE119" s="12"/>
      <c r="AF119" s="12"/>
      <c r="AG119" s="12"/>
      <c r="AH119" s="36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122"/>
      <c r="C120" s="1122"/>
      <c r="D120" s="1122"/>
      <c r="E120" s="1122"/>
      <c r="F120" s="1122"/>
      <c r="G120" s="1122"/>
      <c r="H120" s="1122"/>
      <c r="I120" s="1122"/>
      <c r="J120" s="1122"/>
      <c r="K120" s="1122"/>
      <c r="L120" s="1122"/>
      <c r="M120" s="1122"/>
      <c r="N120" s="1122"/>
      <c r="O120" s="1122"/>
      <c r="P120" s="1122"/>
      <c r="Q120" s="1122"/>
      <c r="R120" s="1122"/>
      <c r="S120" s="1122"/>
      <c r="T120" s="1122"/>
      <c r="U120" s="1122"/>
      <c r="V120" s="1122"/>
      <c r="W120" s="1122"/>
      <c r="X120" s="429"/>
      <c r="Z120" s="12"/>
      <c r="AA120" s="12"/>
      <c r="AB120" s="12"/>
      <c r="AC120" s="12"/>
      <c r="AD120" s="12"/>
      <c r="AE120" s="12"/>
      <c r="AF120" s="12"/>
      <c r="AG120" s="12"/>
      <c r="AH120" s="36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122"/>
      <c r="C121" s="1122"/>
      <c r="D121" s="1122"/>
      <c r="E121" s="1122"/>
      <c r="F121" s="1122"/>
      <c r="G121" s="1122"/>
      <c r="H121" s="1122"/>
      <c r="I121" s="1122"/>
      <c r="J121" s="1122"/>
      <c r="K121" s="1122"/>
      <c r="L121" s="1122"/>
      <c r="M121" s="1122"/>
      <c r="N121" s="1122"/>
      <c r="O121" s="1122"/>
      <c r="P121" s="1122"/>
      <c r="Q121" s="1122"/>
      <c r="R121" s="1122"/>
      <c r="S121" s="1122"/>
      <c r="T121" s="1122"/>
      <c r="U121" s="1122"/>
      <c r="V121" s="1122"/>
      <c r="W121" s="1122"/>
      <c r="X121" s="429"/>
      <c r="AG121" s="216"/>
      <c r="AH121" s="363"/>
      <c r="AI121" s="216"/>
      <c r="AJ121" s="216"/>
      <c r="AK121" s="216"/>
      <c r="AL121" s="216"/>
      <c r="AM121" s="216"/>
      <c r="AN121" s="216"/>
      <c r="AO121" s="216"/>
      <c r="AP121" s="12"/>
      <c r="AQ121" s="12"/>
      <c r="AR121" s="12"/>
      <c r="AS121" s="12"/>
    </row>
    <row r="122" spans="1:34" ht="12.75">
      <c r="A122" s="252" t="s">
        <v>345</v>
      </c>
      <c r="B122" s="1064" t="s">
        <v>683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4"/>
      <c r="X122" s="429"/>
      <c r="AH122" s="363"/>
    </row>
    <row r="123" spans="2:34" ht="12.75">
      <c r="B123" s="1064"/>
      <c r="C123" s="1064"/>
      <c r="D123" s="1064"/>
      <c r="E123" s="1064"/>
      <c r="F123" s="1064"/>
      <c r="G123" s="1064"/>
      <c r="H123" s="1064"/>
      <c r="I123" s="1064"/>
      <c r="J123" s="1064"/>
      <c r="K123" s="1064"/>
      <c r="L123" s="1064"/>
      <c r="M123" s="1064"/>
      <c r="N123" s="1064"/>
      <c r="O123" s="1064"/>
      <c r="P123" s="1064"/>
      <c r="Q123" s="1064"/>
      <c r="R123" s="1064"/>
      <c r="S123" s="1064"/>
      <c r="T123" s="1064"/>
      <c r="U123" s="1064"/>
      <c r="V123" s="1064"/>
      <c r="W123" s="1064"/>
      <c r="X123" s="429"/>
      <c r="AH123" s="363"/>
    </row>
    <row r="124" spans="2:45" ht="3" customHeight="1"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429"/>
      <c r="AG124" s="216"/>
      <c r="AH124" s="363"/>
      <c r="AI124" s="216"/>
      <c r="AJ124" s="216"/>
      <c r="AK124" s="216"/>
      <c r="AL124" s="216"/>
      <c r="AM124" s="216"/>
      <c r="AN124" s="216"/>
      <c r="AO124" s="216"/>
      <c r="AP124" s="12"/>
      <c r="AQ124" s="12"/>
      <c r="AR124" s="12"/>
      <c r="AS124" s="12"/>
    </row>
    <row r="125" spans="1:45" ht="12.75" customHeight="1">
      <c r="A125" s="1131" t="s">
        <v>203</v>
      </c>
      <c r="B125" s="1043" t="s">
        <v>18</v>
      </c>
      <c r="C125" s="1043"/>
      <c r="D125" s="1043"/>
      <c r="E125" s="824" t="s">
        <v>204</v>
      </c>
      <c r="F125" s="825"/>
      <c r="G125" s="825"/>
      <c r="H125" s="825"/>
      <c r="I125" s="825"/>
      <c r="J125" s="825"/>
      <c r="K125" s="825"/>
      <c r="L125" s="825"/>
      <c r="M125" s="825"/>
      <c r="N125" s="826"/>
      <c r="O125" s="968" t="s">
        <v>205</v>
      </c>
      <c r="P125" s="968"/>
      <c r="Q125" s="968"/>
      <c r="R125" s="968"/>
      <c r="S125" s="968"/>
      <c r="T125" s="968"/>
      <c r="U125" s="968"/>
      <c r="V125" s="968"/>
      <c r="W125" s="968"/>
      <c r="X125" s="429"/>
      <c r="AG125" s="186"/>
      <c r="AH125" s="363"/>
      <c r="AI125" s="186"/>
      <c r="AJ125" s="186"/>
      <c r="AK125" s="186"/>
      <c r="AL125" s="186"/>
      <c r="AM125" s="186"/>
      <c r="AN125" s="186"/>
      <c r="AO125" s="186"/>
      <c r="AP125" s="12"/>
      <c r="AQ125" s="12"/>
      <c r="AR125" s="12"/>
      <c r="AS125" s="12"/>
    </row>
    <row r="126" spans="1:45" ht="14.25" customHeight="1">
      <c r="A126" s="1132"/>
      <c r="B126" s="1043"/>
      <c r="C126" s="1043"/>
      <c r="D126" s="1043"/>
      <c r="E126" s="827"/>
      <c r="F126" s="828"/>
      <c r="G126" s="828"/>
      <c r="H126" s="828"/>
      <c r="I126" s="828"/>
      <c r="J126" s="828"/>
      <c r="K126" s="828"/>
      <c r="L126" s="828"/>
      <c r="M126" s="828"/>
      <c r="N126" s="829"/>
      <c r="O126" s="968"/>
      <c r="P126" s="968"/>
      <c r="Q126" s="968"/>
      <c r="R126" s="968"/>
      <c r="S126" s="968"/>
      <c r="T126" s="968"/>
      <c r="U126" s="968"/>
      <c r="V126" s="968"/>
      <c r="W126" s="968"/>
      <c r="X126" s="429"/>
      <c r="AG126" s="12"/>
      <c r="AH126" s="363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133"/>
      <c r="B127" s="1043"/>
      <c r="C127" s="1043"/>
      <c r="D127" s="1043"/>
      <c r="E127" s="830"/>
      <c r="F127" s="831"/>
      <c r="G127" s="831"/>
      <c r="H127" s="831"/>
      <c r="I127" s="831"/>
      <c r="J127" s="831"/>
      <c r="K127" s="831"/>
      <c r="L127" s="831"/>
      <c r="M127" s="831"/>
      <c r="N127" s="832"/>
      <c r="O127" s="821">
        <v>0</v>
      </c>
      <c r="P127" s="822"/>
      <c r="Q127" s="822"/>
      <c r="R127" s="823"/>
      <c r="S127" s="1002" t="s">
        <v>229</v>
      </c>
      <c r="T127" s="1002"/>
      <c r="U127" s="1002"/>
      <c r="V127" s="1002"/>
      <c r="W127" s="1002"/>
      <c r="X127" s="429"/>
      <c r="AG127" s="12"/>
      <c r="AH127" s="36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43" t="s">
        <v>346</v>
      </c>
      <c r="B128" s="778" t="s">
        <v>347</v>
      </c>
      <c r="C128" s="779"/>
      <c r="D128" s="779"/>
      <c r="E128" s="778" t="s">
        <v>684</v>
      </c>
      <c r="F128" s="779"/>
      <c r="G128" s="779"/>
      <c r="H128" s="779"/>
      <c r="I128" s="779"/>
      <c r="J128" s="779"/>
      <c r="K128" s="779"/>
      <c r="L128" s="779"/>
      <c r="M128" s="779"/>
      <c r="N128" s="780"/>
      <c r="O128" s="901" t="s">
        <v>686</v>
      </c>
      <c r="P128" s="910"/>
      <c r="Q128" s="910"/>
      <c r="R128" s="911"/>
      <c r="S128" s="901" t="s">
        <v>687</v>
      </c>
      <c r="T128" s="902"/>
      <c r="U128" s="902"/>
      <c r="V128" s="902"/>
      <c r="W128" s="903"/>
      <c r="X128" s="429"/>
      <c r="AG128" s="12"/>
      <c r="AH128" s="36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44"/>
      <c r="B129" s="781"/>
      <c r="C129" s="782"/>
      <c r="D129" s="782"/>
      <c r="E129" s="781"/>
      <c r="F129" s="782"/>
      <c r="G129" s="782"/>
      <c r="H129" s="782"/>
      <c r="I129" s="782"/>
      <c r="J129" s="782"/>
      <c r="K129" s="782"/>
      <c r="L129" s="782"/>
      <c r="M129" s="782"/>
      <c r="N129" s="783"/>
      <c r="O129" s="912"/>
      <c r="P129" s="913"/>
      <c r="Q129" s="913"/>
      <c r="R129" s="914"/>
      <c r="S129" s="904"/>
      <c r="T129" s="905"/>
      <c r="U129" s="905"/>
      <c r="V129" s="905"/>
      <c r="W129" s="906"/>
      <c r="X129" s="429"/>
      <c r="AG129" s="12"/>
      <c r="AH129" s="363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44"/>
      <c r="B130" s="781"/>
      <c r="C130" s="782"/>
      <c r="D130" s="782"/>
      <c r="E130" s="781"/>
      <c r="F130" s="782"/>
      <c r="G130" s="782"/>
      <c r="H130" s="782"/>
      <c r="I130" s="782"/>
      <c r="J130" s="782"/>
      <c r="K130" s="782"/>
      <c r="L130" s="782"/>
      <c r="M130" s="782"/>
      <c r="N130" s="783"/>
      <c r="O130" s="912"/>
      <c r="P130" s="913"/>
      <c r="Q130" s="913"/>
      <c r="R130" s="914"/>
      <c r="S130" s="904"/>
      <c r="T130" s="905"/>
      <c r="U130" s="905"/>
      <c r="V130" s="905"/>
      <c r="W130" s="906"/>
      <c r="X130" s="429"/>
      <c r="AG130" s="12"/>
      <c r="AH130" s="363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2.75">
      <c r="A131" s="244"/>
      <c r="B131" s="781"/>
      <c r="C131" s="782"/>
      <c r="D131" s="782"/>
      <c r="E131" s="781"/>
      <c r="F131" s="782"/>
      <c r="G131" s="782"/>
      <c r="H131" s="782"/>
      <c r="I131" s="782"/>
      <c r="J131" s="782"/>
      <c r="K131" s="782"/>
      <c r="L131" s="782"/>
      <c r="M131" s="782"/>
      <c r="N131" s="783"/>
      <c r="O131" s="912"/>
      <c r="P131" s="913"/>
      <c r="Q131" s="913"/>
      <c r="R131" s="914"/>
      <c r="S131" s="904"/>
      <c r="T131" s="905"/>
      <c r="U131" s="905"/>
      <c r="V131" s="905"/>
      <c r="W131" s="906"/>
      <c r="X131" s="429"/>
      <c r="AG131" s="12"/>
      <c r="AH131" s="363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9.75" customHeight="1">
      <c r="A132" s="244"/>
      <c r="B132" s="781"/>
      <c r="C132" s="782"/>
      <c r="D132" s="782"/>
      <c r="E132" s="781"/>
      <c r="F132" s="782"/>
      <c r="G132" s="782"/>
      <c r="H132" s="782"/>
      <c r="I132" s="782"/>
      <c r="J132" s="782"/>
      <c r="K132" s="782"/>
      <c r="L132" s="782"/>
      <c r="M132" s="782"/>
      <c r="N132" s="783"/>
      <c r="O132" s="912"/>
      <c r="P132" s="913"/>
      <c r="Q132" s="913"/>
      <c r="R132" s="914"/>
      <c r="S132" s="904"/>
      <c r="T132" s="905"/>
      <c r="U132" s="905"/>
      <c r="V132" s="905"/>
      <c r="W132" s="906"/>
      <c r="X132" s="429"/>
      <c r="AG132" s="12"/>
      <c r="AH132" s="363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8" customHeight="1">
      <c r="A133" s="244"/>
      <c r="B133" s="781"/>
      <c r="C133" s="782"/>
      <c r="D133" s="782"/>
      <c r="E133" s="895" t="s">
        <v>685</v>
      </c>
      <c r="F133" s="896"/>
      <c r="G133" s="896"/>
      <c r="H133" s="896"/>
      <c r="I133" s="896"/>
      <c r="J133" s="896"/>
      <c r="K133" s="896"/>
      <c r="L133" s="896"/>
      <c r="M133" s="896"/>
      <c r="N133" s="897"/>
      <c r="O133" s="904"/>
      <c r="P133" s="905"/>
      <c r="Q133" s="905"/>
      <c r="R133" s="906"/>
      <c r="S133" s="889" t="s">
        <v>689</v>
      </c>
      <c r="T133" s="890"/>
      <c r="U133" s="890"/>
      <c r="V133" s="890"/>
      <c r="W133" s="891"/>
      <c r="X133" s="429"/>
      <c r="AG133" s="12"/>
      <c r="AH133" s="363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>
      <c r="A134" s="244"/>
      <c r="B134" s="781"/>
      <c r="C134" s="782"/>
      <c r="D134" s="782"/>
      <c r="E134" s="895"/>
      <c r="F134" s="896"/>
      <c r="G134" s="896"/>
      <c r="H134" s="896"/>
      <c r="I134" s="896"/>
      <c r="J134" s="896"/>
      <c r="K134" s="896"/>
      <c r="L134" s="896"/>
      <c r="M134" s="896"/>
      <c r="N134" s="897"/>
      <c r="O134" s="904"/>
      <c r="P134" s="905"/>
      <c r="Q134" s="905"/>
      <c r="R134" s="906"/>
      <c r="S134" s="889"/>
      <c r="T134" s="890"/>
      <c r="U134" s="890"/>
      <c r="V134" s="890"/>
      <c r="W134" s="891"/>
      <c r="X134" s="429"/>
      <c r="AG134" s="12"/>
      <c r="AH134" s="36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>
      <c r="A135" s="244"/>
      <c r="B135" s="781"/>
      <c r="C135" s="782"/>
      <c r="D135" s="782"/>
      <c r="E135" s="895"/>
      <c r="F135" s="896"/>
      <c r="G135" s="896"/>
      <c r="H135" s="896"/>
      <c r="I135" s="896"/>
      <c r="J135" s="896"/>
      <c r="K135" s="896"/>
      <c r="L135" s="896"/>
      <c r="M135" s="896"/>
      <c r="N135" s="897"/>
      <c r="O135" s="904"/>
      <c r="P135" s="905"/>
      <c r="Q135" s="905"/>
      <c r="R135" s="906"/>
      <c r="S135" s="889"/>
      <c r="T135" s="890"/>
      <c r="U135" s="890"/>
      <c r="V135" s="890"/>
      <c r="W135" s="891"/>
      <c r="X135" s="429"/>
      <c r="AC135" s="333" t="s">
        <v>405</v>
      </c>
      <c r="AG135" s="12"/>
      <c r="AH135" s="363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44"/>
      <c r="B136" s="781"/>
      <c r="C136" s="782"/>
      <c r="D136" s="782"/>
      <c r="E136" s="895"/>
      <c r="F136" s="896"/>
      <c r="G136" s="896"/>
      <c r="H136" s="896"/>
      <c r="I136" s="896"/>
      <c r="J136" s="896"/>
      <c r="K136" s="896"/>
      <c r="L136" s="896"/>
      <c r="M136" s="896"/>
      <c r="N136" s="897"/>
      <c r="O136" s="904"/>
      <c r="P136" s="905"/>
      <c r="Q136" s="905"/>
      <c r="R136" s="906"/>
      <c r="S136" s="868" t="s">
        <v>688</v>
      </c>
      <c r="T136" s="869"/>
      <c r="U136" s="869"/>
      <c r="V136" s="869"/>
      <c r="W136" s="870"/>
      <c r="X136" s="429"/>
      <c r="AC136" s="335">
        <f>G56</f>
      </c>
      <c r="AG136" s="12"/>
      <c r="AH136" s="363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44"/>
      <c r="B137" s="781"/>
      <c r="C137" s="782"/>
      <c r="D137" s="782"/>
      <c r="E137" s="895"/>
      <c r="F137" s="896"/>
      <c r="G137" s="896"/>
      <c r="H137" s="896"/>
      <c r="I137" s="896"/>
      <c r="J137" s="896"/>
      <c r="K137" s="896"/>
      <c r="L137" s="896"/>
      <c r="M137" s="896"/>
      <c r="N137" s="897"/>
      <c r="O137" s="904"/>
      <c r="P137" s="905"/>
      <c r="Q137" s="905"/>
      <c r="R137" s="906"/>
      <c r="S137" s="868"/>
      <c r="T137" s="869"/>
      <c r="U137" s="869"/>
      <c r="V137" s="869"/>
      <c r="W137" s="870"/>
      <c r="X137" s="429"/>
      <c r="AC137" s="335"/>
      <c r="AG137" s="12"/>
      <c r="AH137" s="363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44"/>
      <c r="B138" s="781"/>
      <c r="C138" s="782"/>
      <c r="D138" s="782"/>
      <c r="E138" s="895"/>
      <c r="F138" s="896"/>
      <c r="G138" s="896"/>
      <c r="H138" s="896"/>
      <c r="I138" s="896"/>
      <c r="J138" s="896"/>
      <c r="K138" s="896"/>
      <c r="L138" s="896"/>
      <c r="M138" s="896"/>
      <c r="N138" s="897"/>
      <c r="O138" s="904"/>
      <c r="P138" s="905"/>
      <c r="Q138" s="905"/>
      <c r="R138" s="906"/>
      <c r="S138" s="868"/>
      <c r="T138" s="869"/>
      <c r="U138" s="869"/>
      <c r="V138" s="869"/>
      <c r="W138" s="870"/>
      <c r="X138" s="429"/>
      <c r="AC138" s="335"/>
      <c r="AG138" s="12"/>
      <c r="AH138" s="363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44"/>
      <c r="B139" s="781"/>
      <c r="C139" s="782"/>
      <c r="D139" s="782"/>
      <c r="E139" s="895"/>
      <c r="F139" s="896"/>
      <c r="G139" s="896"/>
      <c r="H139" s="896"/>
      <c r="I139" s="896"/>
      <c r="J139" s="896"/>
      <c r="K139" s="896"/>
      <c r="L139" s="896"/>
      <c r="M139" s="896"/>
      <c r="N139" s="897"/>
      <c r="O139" s="904"/>
      <c r="P139" s="905"/>
      <c r="Q139" s="905"/>
      <c r="R139" s="906"/>
      <c r="S139" s="871" t="s">
        <v>692</v>
      </c>
      <c r="T139" s="872"/>
      <c r="U139" s="872"/>
      <c r="V139" s="872"/>
      <c r="W139" s="873"/>
      <c r="X139" s="429"/>
      <c r="AC139" s="335"/>
      <c r="AG139" s="12"/>
      <c r="AH139" s="363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44"/>
      <c r="B140" s="781"/>
      <c r="C140" s="782"/>
      <c r="D140" s="782"/>
      <c r="E140" s="895"/>
      <c r="F140" s="896"/>
      <c r="G140" s="896"/>
      <c r="H140" s="896"/>
      <c r="I140" s="896"/>
      <c r="J140" s="896"/>
      <c r="K140" s="896"/>
      <c r="L140" s="896"/>
      <c r="M140" s="896"/>
      <c r="N140" s="897"/>
      <c r="O140" s="904"/>
      <c r="P140" s="905"/>
      <c r="Q140" s="905"/>
      <c r="R140" s="906"/>
      <c r="S140" s="871"/>
      <c r="T140" s="872"/>
      <c r="U140" s="872"/>
      <c r="V140" s="872"/>
      <c r="W140" s="873"/>
      <c r="X140" s="429"/>
      <c r="AC140" s="335"/>
      <c r="AG140" s="12"/>
      <c r="AH140" s="363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44"/>
      <c r="B141" s="781"/>
      <c r="C141" s="782"/>
      <c r="D141" s="782"/>
      <c r="E141" s="895"/>
      <c r="F141" s="896"/>
      <c r="G141" s="896"/>
      <c r="H141" s="896"/>
      <c r="I141" s="896"/>
      <c r="J141" s="896"/>
      <c r="K141" s="896"/>
      <c r="L141" s="896"/>
      <c r="M141" s="896"/>
      <c r="N141" s="897"/>
      <c r="O141" s="907"/>
      <c r="P141" s="908"/>
      <c r="Q141" s="908"/>
      <c r="R141" s="909"/>
      <c r="S141" s="892"/>
      <c r="T141" s="893"/>
      <c r="U141" s="893"/>
      <c r="V141" s="893"/>
      <c r="W141" s="894"/>
      <c r="X141" s="429"/>
      <c r="Y141" s="179" t="str">
        <f>IF(AC136="первая","да","нет")</f>
        <v>нет</v>
      </c>
      <c r="AG141" s="12"/>
      <c r="AH141" s="363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24" customHeight="1">
      <c r="A142" s="244"/>
      <c r="B142" s="781"/>
      <c r="C142" s="782"/>
      <c r="D142" s="782"/>
      <c r="E142" s="895"/>
      <c r="F142" s="896"/>
      <c r="G142" s="896"/>
      <c r="H142" s="896"/>
      <c r="I142" s="896"/>
      <c r="J142" s="896"/>
      <c r="K142" s="896"/>
      <c r="L142" s="896"/>
      <c r="M142" s="896"/>
      <c r="N142" s="897"/>
      <c r="O142" s="770" t="str">
        <f>IF(Y142=0,IF(OR(FIO="",Y141="нет"),"-",0),"")</f>
        <v>-</v>
      </c>
      <c r="P142" s="770"/>
      <c r="Q142" s="770"/>
      <c r="R142" s="770"/>
      <c r="S142" s="837"/>
      <c r="T142" s="837"/>
      <c r="U142" s="837"/>
      <c r="V142" s="837"/>
      <c r="W142" s="838"/>
      <c r="X142" s="429"/>
      <c r="Y142" s="256">
        <f>SUM(S142)</f>
        <v>0</v>
      </c>
      <c r="AC142" s="333" t="s">
        <v>404</v>
      </c>
      <c r="AD142" s="281" t="str">
        <f>IF(z_kateg="первая",AD143,"-")</f>
        <v>-</v>
      </c>
      <c r="AE142" s="281" t="str">
        <f>IF(z_kateg="первая",AE143,"-")</f>
        <v>-</v>
      </c>
      <c r="AF142" s="281" t="str">
        <f>IF(z_kateg="первая",AF143,"-")</f>
        <v>-</v>
      </c>
      <c r="AG142" s="281" t="str">
        <f>IF(z_kateg="первая",AG143,"-")</f>
        <v>-</v>
      </c>
      <c r="AH142" s="363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5" customHeight="1">
      <c r="A143" s="245"/>
      <c r="B143" s="784"/>
      <c r="C143" s="785"/>
      <c r="D143" s="785"/>
      <c r="E143" s="898"/>
      <c r="F143" s="899"/>
      <c r="G143" s="899"/>
      <c r="H143" s="899"/>
      <c r="I143" s="899"/>
      <c r="J143" s="899"/>
      <c r="K143" s="899"/>
      <c r="L143" s="899"/>
      <c r="M143" s="899"/>
      <c r="N143" s="900"/>
      <c r="O143" s="770"/>
      <c r="P143" s="770"/>
      <c r="Q143" s="770"/>
      <c r="R143" s="770"/>
      <c r="S143" s="843"/>
      <c r="T143" s="843"/>
      <c r="U143" s="843"/>
      <c r="V143" s="843"/>
      <c r="W143" s="844"/>
      <c r="X143" s="429"/>
      <c r="AC143" s="334" t="b">
        <f>OR(S142=0,$S$142="-")</f>
        <v>1</v>
      </c>
      <c r="AD143" s="5">
        <v>10</v>
      </c>
      <c r="AE143" s="5">
        <v>60</v>
      </c>
      <c r="AF143" s="5">
        <v>80</v>
      </c>
      <c r="AG143" s="12">
        <v>100</v>
      </c>
      <c r="AH143" s="363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43" t="s">
        <v>348</v>
      </c>
      <c r="B144" s="778" t="s">
        <v>349</v>
      </c>
      <c r="C144" s="779"/>
      <c r="D144" s="779"/>
      <c r="E144" s="778" t="s">
        <v>695</v>
      </c>
      <c r="F144" s="779"/>
      <c r="G144" s="779"/>
      <c r="H144" s="779"/>
      <c r="I144" s="779"/>
      <c r="J144" s="779"/>
      <c r="K144" s="779"/>
      <c r="L144" s="779"/>
      <c r="M144" s="779"/>
      <c r="N144" s="780"/>
      <c r="O144" s="901" t="s">
        <v>693</v>
      </c>
      <c r="P144" s="902"/>
      <c r="Q144" s="902"/>
      <c r="R144" s="902"/>
      <c r="S144" s="901" t="s">
        <v>694</v>
      </c>
      <c r="T144" s="902"/>
      <c r="U144" s="902"/>
      <c r="V144" s="902"/>
      <c r="W144" s="903"/>
      <c r="X144" s="429"/>
      <c r="AG144" s="12"/>
      <c r="AH144" s="363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31.5" customHeight="1">
      <c r="A145" s="244"/>
      <c r="B145" s="781"/>
      <c r="C145" s="782"/>
      <c r="D145" s="782"/>
      <c r="E145" s="781"/>
      <c r="F145" s="782"/>
      <c r="G145" s="782"/>
      <c r="H145" s="782"/>
      <c r="I145" s="782"/>
      <c r="J145" s="782"/>
      <c r="K145" s="782"/>
      <c r="L145" s="782"/>
      <c r="M145" s="782"/>
      <c r="N145" s="783"/>
      <c r="O145" s="904"/>
      <c r="P145" s="905"/>
      <c r="Q145" s="905"/>
      <c r="R145" s="905"/>
      <c r="S145" s="904"/>
      <c r="T145" s="905"/>
      <c r="U145" s="905"/>
      <c r="V145" s="905"/>
      <c r="W145" s="906"/>
      <c r="X145" s="429"/>
      <c r="AG145" s="12"/>
      <c r="AH145" s="363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2.75" customHeight="1">
      <c r="A146" s="244"/>
      <c r="B146" s="781"/>
      <c r="C146" s="782"/>
      <c r="D146" s="782"/>
      <c r="E146" s="781"/>
      <c r="F146" s="782"/>
      <c r="G146" s="782"/>
      <c r="H146" s="782"/>
      <c r="I146" s="782"/>
      <c r="J146" s="782"/>
      <c r="K146" s="782"/>
      <c r="L146" s="782"/>
      <c r="M146" s="782"/>
      <c r="N146" s="783"/>
      <c r="O146" s="904"/>
      <c r="P146" s="905"/>
      <c r="Q146" s="905"/>
      <c r="R146" s="905"/>
      <c r="S146" s="904"/>
      <c r="T146" s="905"/>
      <c r="U146" s="905"/>
      <c r="V146" s="905"/>
      <c r="W146" s="906"/>
      <c r="X146" s="429"/>
      <c r="AG146" s="12"/>
      <c r="AH146" s="363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0.5" customHeight="1">
      <c r="A147" s="244"/>
      <c r="B147" s="781"/>
      <c r="C147" s="782"/>
      <c r="D147" s="782"/>
      <c r="E147" s="781"/>
      <c r="F147" s="782"/>
      <c r="G147" s="782"/>
      <c r="H147" s="782"/>
      <c r="I147" s="782"/>
      <c r="J147" s="782"/>
      <c r="K147" s="782"/>
      <c r="L147" s="782"/>
      <c r="M147" s="782"/>
      <c r="N147" s="783"/>
      <c r="O147" s="904"/>
      <c r="P147" s="905"/>
      <c r="Q147" s="905"/>
      <c r="R147" s="905"/>
      <c r="S147" s="889" t="s">
        <v>689</v>
      </c>
      <c r="T147" s="890"/>
      <c r="U147" s="890"/>
      <c r="V147" s="890"/>
      <c r="W147" s="891"/>
      <c r="X147" s="429"/>
      <c r="AG147" s="12"/>
      <c r="AH147" s="363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>
      <c r="A148" s="244"/>
      <c r="B148" s="781"/>
      <c r="C148" s="782"/>
      <c r="D148" s="782"/>
      <c r="E148" s="781"/>
      <c r="F148" s="782"/>
      <c r="G148" s="782"/>
      <c r="H148" s="782"/>
      <c r="I148" s="782"/>
      <c r="J148" s="782"/>
      <c r="K148" s="782"/>
      <c r="L148" s="782"/>
      <c r="M148" s="782"/>
      <c r="N148" s="783"/>
      <c r="O148" s="904"/>
      <c r="P148" s="905"/>
      <c r="Q148" s="905"/>
      <c r="R148" s="905"/>
      <c r="S148" s="889"/>
      <c r="T148" s="890"/>
      <c r="U148" s="890"/>
      <c r="V148" s="890"/>
      <c r="W148" s="891"/>
      <c r="X148" s="429"/>
      <c r="AG148" s="12"/>
      <c r="AH148" s="363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12.75">
      <c r="A149" s="244"/>
      <c r="B149" s="781"/>
      <c r="C149" s="782"/>
      <c r="D149" s="782"/>
      <c r="E149" s="781"/>
      <c r="F149" s="782"/>
      <c r="G149" s="782"/>
      <c r="H149" s="782"/>
      <c r="I149" s="782"/>
      <c r="J149" s="782"/>
      <c r="K149" s="782"/>
      <c r="L149" s="782"/>
      <c r="M149" s="782"/>
      <c r="N149" s="783"/>
      <c r="O149" s="904"/>
      <c r="P149" s="905"/>
      <c r="Q149" s="905"/>
      <c r="R149" s="905"/>
      <c r="S149" s="889"/>
      <c r="T149" s="890"/>
      <c r="U149" s="890"/>
      <c r="V149" s="890"/>
      <c r="W149" s="891"/>
      <c r="X149" s="429"/>
      <c r="AG149" s="12"/>
      <c r="AH149" s="363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12.75">
      <c r="A150" s="244"/>
      <c r="B150" s="781"/>
      <c r="C150" s="782"/>
      <c r="D150" s="782"/>
      <c r="E150" s="781"/>
      <c r="F150" s="782"/>
      <c r="G150" s="782"/>
      <c r="H150" s="782"/>
      <c r="I150" s="782"/>
      <c r="J150" s="782"/>
      <c r="K150" s="782"/>
      <c r="L150" s="782"/>
      <c r="M150" s="782"/>
      <c r="N150" s="783"/>
      <c r="O150" s="904"/>
      <c r="P150" s="905"/>
      <c r="Q150" s="905"/>
      <c r="R150" s="905"/>
      <c r="S150" s="868" t="s">
        <v>688</v>
      </c>
      <c r="T150" s="869"/>
      <c r="U150" s="869"/>
      <c r="V150" s="869"/>
      <c r="W150" s="870"/>
      <c r="X150" s="429"/>
      <c r="AG150" s="12"/>
      <c r="AH150" s="363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2.75">
      <c r="A151" s="244"/>
      <c r="B151" s="781"/>
      <c r="C151" s="782"/>
      <c r="D151" s="782"/>
      <c r="E151" s="895" t="s">
        <v>690</v>
      </c>
      <c r="F151" s="896"/>
      <c r="G151" s="896"/>
      <c r="H151" s="896"/>
      <c r="I151" s="896"/>
      <c r="J151" s="896"/>
      <c r="K151" s="896"/>
      <c r="L151" s="896"/>
      <c r="M151" s="896"/>
      <c r="N151" s="897"/>
      <c r="O151" s="904"/>
      <c r="P151" s="905"/>
      <c r="Q151" s="905"/>
      <c r="R151" s="905"/>
      <c r="S151" s="868"/>
      <c r="T151" s="869"/>
      <c r="U151" s="869"/>
      <c r="V151" s="869"/>
      <c r="W151" s="870"/>
      <c r="X151" s="429"/>
      <c r="AG151" s="12"/>
      <c r="AH151" s="363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12.75">
      <c r="A152" s="244"/>
      <c r="B152" s="781"/>
      <c r="C152" s="782"/>
      <c r="D152" s="782"/>
      <c r="E152" s="895"/>
      <c r="F152" s="896"/>
      <c r="G152" s="896"/>
      <c r="H152" s="896"/>
      <c r="I152" s="896"/>
      <c r="J152" s="896"/>
      <c r="K152" s="896"/>
      <c r="L152" s="896"/>
      <c r="M152" s="896"/>
      <c r="N152" s="897"/>
      <c r="O152" s="904"/>
      <c r="P152" s="905"/>
      <c r="Q152" s="905"/>
      <c r="R152" s="905"/>
      <c r="S152" s="868"/>
      <c r="T152" s="869"/>
      <c r="U152" s="869"/>
      <c r="V152" s="869"/>
      <c r="W152" s="870"/>
      <c r="X152" s="429"/>
      <c r="AG152" s="12"/>
      <c r="AH152" s="363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12.75">
      <c r="A153" s="244"/>
      <c r="B153" s="781"/>
      <c r="C153" s="782"/>
      <c r="D153" s="782"/>
      <c r="E153" s="895"/>
      <c r="F153" s="896"/>
      <c r="G153" s="896"/>
      <c r="H153" s="896"/>
      <c r="I153" s="896"/>
      <c r="J153" s="896"/>
      <c r="K153" s="896"/>
      <c r="L153" s="896"/>
      <c r="M153" s="896"/>
      <c r="N153" s="897"/>
      <c r="O153" s="904"/>
      <c r="P153" s="905"/>
      <c r="Q153" s="905"/>
      <c r="R153" s="905"/>
      <c r="S153" s="871" t="s">
        <v>692</v>
      </c>
      <c r="T153" s="872"/>
      <c r="U153" s="872"/>
      <c r="V153" s="872"/>
      <c r="W153" s="873"/>
      <c r="X153" s="429"/>
      <c r="AG153" s="12"/>
      <c r="AH153" s="363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12.75">
      <c r="A154" s="244"/>
      <c r="B154" s="781"/>
      <c r="C154" s="782"/>
      <c r="D154" s="782"/>
      <c r="E154" s="895"/>
      <c r="F154" s="896"/>
      <c r="G154" s="896"/>
      <c r="H154" s="896"/>
      <c r="I154" s="896"/>
      <c r="J154" s="896"/>
      <c r="K154" s="896"/>
      <c r="L154" s="896"/>
      <c r="M154" s="896"/>
      <c r="N154" s="897"/>
      <c r="O154" s="904"/>
      <c r="P154" s="905"/>
      <c r="Q154" s="905"/>
      <c r="R154" s="905"/>
      <c r="S154" s="871"/>
      <c r="T154" s="872"/>
      <c r="U154" s="872"/>
      <c r="V154" s="872"/>
      <c r="W154" s="873"/>
      <c r="X154" s="429"/>
      <c r="AG154" s="12"/>
      <c r="AH154" s="363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3.75" customHeight="1">
      <c r="A155" s="244"/>
      <c r="B155" s="781"/>
      <c r="C155" s="782"/>
      <c r="D155" s="782"/>
      <c r="E155" s="895"/>
      <c r="F155" s="896"/>
      <c r="G155" s="896"/>
      <c r="H155" s="896"/>
      <c r="I155" s="896"/>
      <c r="J155" s="896"/>
      <c r="K155" s="896"/>
      <c r="L155" s="896"/>
      <c r="M155" s="896"/>
      <c r="N155" s="897"/>
      <c r="O155" s="904"/>
      <c r="P155" s="905"/>
      <c r="Q155" s="905"/>
      <c r="R155" s="905"/>
      <c r="S155" s="871"/>
      <c r="T155" s="872"/>
      <c r="U155" s="872"/>
      <c r="V155" s="872"/>
      <c r="W155" s="873"/>
      <c r="X155" s="429"/>
      <c r="AG155" s="12"/>
      <c r="AH155" s="363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1.25" customHeight="1">
      <c r="A156" s="244"/>
      <c r="B156" s="781"/>
      <c r="C156" s="782"/>
      <c r="D156" s="782"/>
      <c r="E156" s="895"/>
      <c r="F156" s="896"/>
      <c r="G156" s="896"/>
      <c r="H156" s="896"/>
      <c r="I156" s="896"/>
      <c r="J156" s="896"/>
      <c r="K156" s="896"/>
      <c r="L156" s="896"/>
      <c r="M156" s="896"/>
      <c r="N156" s="897"/>
      <c r="O156" s="904"/>
      <c r="P156" s="905"/>
      <c r="Q156" s="905"/>
      <c r="R156" s="905"/>
      <c r="S156" s="874" t="s">
        <v>691</v>
      </c>
      <c r="T156" s="875"/>
      <c r="U156" s="875"/>
      <c r="V156" s="875"/>
      <c r="W156" s="876"/>
      <c r="X156" s="429"/>
      <c r="AG156" s="12"/>
      <c r="AH156" s="363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3" customHeight="1" hidden="1">
      <c r="A157" s="244"/>
      <c r="B157" s="781"/>
      <c r="C157" s="782"/>
      <c r="D157" s="782"/>
      <c r="E157" s="895"/>
      <c r="F157" s="896"/>
      <c r="G157" s="896"/>
      <c r="H157" s="896"/>
      <c r="I157" s="896"/>
      <c r="J157" s="896"/>
      <c r="K157" s="896"/>
      <c r="L157" s="896"/>
      <c r="M157" s="896"/>
      <c r="N157" s="897"/>
      <c r="O157" s="904"/>
      <c r="P157" s="905"/>
      <c r="Q157" s="905"/>
      <c r="R157" s="905"/>
      <c r="S157" s="874"/>
      <c r="T157" s="875"/>
      <c r="U157" s="875"/>
      <c r="V157" s="875"/>
      <c r="W157" s="876"/>
      <c r="X157" s="429"/>
      <c r="AG157" s="12"/>
      <c r="AH157" s="363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customHeight="1">
      <c r="A158" s="244"/>
      <c r="B158" s="781"/>
      <c r="C158" s="782"/>
      <c r="D158" s="782"/>
      <c r="E158" s="895"/>
      <c r="F158" s="896"/>
      <c r="G158" s="896"/>
      <c r="H158" s="896"/>
      <c r="I158" s="896"/>
      <c r="J158" s="896"/>
      <c r="K158" s="896"/>
      <c r="L158" s="896"/>
      <c r="M158" s="896"/>
      <c r="N158" s="897"/>
      <c r="O158" s="904"/>
      <c r="P158" s="905"/>
      <c r="Q158" s="905"/>
      <c r="R158" s="905"/>
      <c r="S158" s="874"/>
      <c r="T158" s="875"/>
      <c r="U158" s="875"/>
      <c r="V158" s="875"/>
      <c r="W158" s="876"/>
      <c r="X158" s="429"/>
      <c r="AG158" s="12"/>
      <c r="AH158" s="363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2.75">
      <c r="A159" s="244"/>
      <c r="B159" s="781"/>
      <c r="C159" s="782"/>
      <c r="D159" s="782"/>
      <c r="E159" s="895"/>
      <c r="F159" s="896"/>
      <c r="G159" s="896"/>
      <c r="H159" s="896"/>
      <c r="I159" s="896"/>
      <c r="J159" s="896"/>
      <c r="K159" s="896"/>
      <c r="L159" s="896"/>
      <c r="M159" s="896"/>
      <c r="N159" s="897"/>
      <c r="O159" s="904"/>
      <c r="P159" s="905"/>
      <c r="Q159" s="905"/>
      <c r="R159" s="905"/>
      <c r="S159" s="874"/>
      <c r="T159" s="875"/>
      <c r="U159" s="875"/>
      <c r="V159" s="875"/>
      <c r="W159" s="876"/>
      <c r="X159" s="429"/>
      <c r="AG159" s="12"/>
      <c r="AH159" s="363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>
      <c r="A160" s="244"/>
      <c r="B160" s="781"/>
      <c r="C160" s="782"/>
      <c r="D160" s="782"/>
      <c r="E160" s="895"/>
      <c r="F160" s="896"/>
      <c r="G160" s="896"/>
      <c r="H160" s="896"/>
      <c r="I160" s="896"/>
      <c r="J160" s="896"/>
      <c r="K160" s="896"/>
      <c r="L160" s="896"/>
      <c r="M160" s="896"/>
      <c r="N160" s="897"/>
      <c r="O160" s="904"/>
      <c r="P160" s="905"/>
      <c r="Q160" s="905"/>
      <c r="R160" s="905"/>
      <c r="S160" s="874"/>
      <c r="T160" s="875"/>
      <c r="U160" s="875"/>
      <c r="V160" s="875"/>
      <c r="W160" s="876"/>
      <c r="X160" s="429"/>
      <c r="AG160" s="12"/>
      <c r="AH160" s="363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2.75">
      <c r="A161" s="244"/>
      <c r="B161" s="781"/>
      <c r="C161" s="782"/>
      <c r="D161" s="782"/>
      <c r="E161" s="895"/>
      <c r="F161" s="896"/>
      <c r="G161" s="896"/>
      <c r="H161" s="896"/>
      <c r="I161" s="896"/>
      <c r="J161" s="896"/>
      <c r="K161" s="896"/>
      <c r="L161" s="896"/>
      <c r="M161" s="896"/>
      <c r="N161" s="897"/>
      <c r="O161" s="904"/>
      <c r="P161" s="905"/>
      <c r="Q161" s="905"/>
      <c r="R161" s="905"/>
      <c r="S161" s="874"/>
      <c r="T161" s="875"/>
      <c r="U161" s="875"/>
      <c r="V161" s="875"/>
      <c r="W161" s="876"/>
      <c r="X161" s="429"/>
      <c r="AG161" s="12"/>
      <c r="AH161" s="363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12" customHeight="1">
      <c r="A162" s="244"/>
      <c r="B162" s="781"/>
      <c r="C162" s="782"/>
      <c r="D162" s="782"/>
      <c r="E162" s="895"/>
      <c r="F162" s="896"/>
      <c r="G162" s="896"/>
      <c r="H162" s="896"/>
      <c r="I162" s="896"/>
      <c r="J162" s="896"/>
      <c r="K162" s="896"/>
      <c r="L162" s="896"/>
      <c r="M162" s="896"/>
      <c r="N162" s="897"/>
      <c r="O162" s="907"/>
      <c r="P162" s="908"/>
      <c r="Q162" s="908"/>
      <c r="R162" s="908"/>
      <c r="S162" s="877"/>
      <c r="T162" s="878"/>
      <c r="U162" s="878"/>
      <c r="V162" s="878"/>
      <c r="W162" s="879"/>
      <c r="X162" s="429"/>
      <c r="Y162" s="179" t="str">
        <f>IF(AC136="высшая","да","нет")</f>
        <v>нет</v>
      </c>
      <c r="AD162" s="178"/>
      <c r="AG162" s="12"/>
      <c r="AH162" s="363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8" customHeight="1">
      <c r="A163" s="244"/>
      <c r="B163" s="781"/>
      <c r="C163" s="782"/>
      <c r="D163" s="782"/>
      <c r="E163" s="895"/>
      <c r="F163" s="896"/>
      <c r="G163" s="896"/>
      <c r="H163" s="896"/>
      <c r="I163" s="896"/>
      <c r="J163" s="896"/>
      <c r="K163" s="896"/>
      <c r="L163" s="896"/>
      <c r="M163" s="896"/>
      <c r="N163" s="897"/>
      <c r="O163" s="770" t="str">
        <f>IF(Y163=0,IF(OR(FIO="",Y162="нет"),"-",0),"")</f>
        <v>-</v>
      </c>
      <c r="P163" s="770"/>
      <c r="Q163" s="770"/>
      <c r="R163" s="770"/>
      <c r="S163" s="837"/>
      <c r="T163" s="837"/>
      <c r="U163" s="837"/>
      <c r="V163" s="837"/>
      <c r="W163" s="838"/>
      <c r="X163" s="429"/>
      <c r="Y163" s="256">
        <f>SUM(S163)</f>
        <v>0</v>
      </c>
      <c r="Z163" s="240" t="s">
        <v>208</v>
      </c>
      <c r="AA163" s="241" t="s">
        <v>283</v>
      </c>
      <c r="AC163" s="333" t="s">
        <v>404</v>
      </c>
      <c r="AD163" s="281" t="str">
        <f>IF(z_kateg="высшая",AD143,"-")</f>
        <v>-</v>
      </c>
      <c r="AE163" s="281" t="str">
        <f>IF(z_kateg="высшая",AE143,"-")</f>
        <v>-</v>
      </c>
      <c r="AF163" s="281" t="str">
        <f>IF(z_kateg="высшая",AF143,"-")</f>
        <v>-</v>
      </c>
      <c r="AG163" s="281" t="str">
        <f>IF(z_kateg="высшая",AG143,"-")</f>
        <v>-</v>
      </c>
      <c r="AH163" s="363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2.75" customHeight="1">
      <c r="A164" s="245"/>
      <c r="B164" s="784"/>
      <c r="C164" s="785"/>
      <c r="D164" s="785"/>
      <c r="E164" s="898"/>
      <c r="F164" s="899"/>
      <c r="G164" s="899"/>
      <c r="H164" s="899"/>
      <c r="I164" s="899"/>
      <c r="J164" s="899"/>
      <c r="K164" s="899"/>
      <c r="L164" s="899"/>
      <c r="M164" s="899"/>
      <c r="N164" s="900"/>
      <c r="O164" s="770"/>
      <c r="P164" s="770"/>
      <c r="Q164" s="770"/>
      <c r="R164" s="770"/>
      <c r="S164" s="843"/>
      <c r="T164" s="843"/>
      <c r="U164" s="843"/>
      <c r="V164" s="843"/>
      <c r="W164" s="844"/>
      <c r="X164" s="429"/>
      <c r="Z164" s="242">
        <v>100</v>
      </c>
      <c r="AA164" s="259">
        <v>60</v>
      </c>
      <c r="AC164" s="334" t="b">
        <f>OR(S163=0,$S$163="-")</f>
        <v>1</v>
      </c>
      <c r="AD164" s="178"/>
      <c r="AG164" s="12"/>
      <c r="AH164" s="363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2:45" ht="14.25" customHeight="1"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429"/>
      <c r="AG165" s="216"/>
      <c r="AH165" s="363"/>
      <c r="AI165" s="216"/>
      <c r="AJ165" s="216"/>
      <c r="AK165" s="216"/>
      <c r="AL165" s="216"/>
      <c r="AM165" s="216"/>
      <c r="AN165" s="216"/>
      <c r="AO165" s="216"/>
      <c r="AP165" s="12"/>
      <c r="AQ165" s="12"/>
      <c r="AR165" s="12"/>
      <c r="AS165" s="12"/>
    </row>
    <row r="166" spans="1:34" ht="12.75" hidden="1">
      <c r="A166" s="635" t="s">
        <v>350</v>
      </c>
      <c r="B166" s="1040" t="s">
        <v>351</v>
      </c>
      <c r="C166" s="1040"/>
      <c r="D166" s="1040"/>
      <c r="E166" s="1040"/>
      <c r="F166" s="1040"/>
      <c r="G166" s="1040"/>
      <c r="H166" s="1040"/>
      <c r="I166" s="1040"/>
      <c r="J166" s="1040"/>
      <c r="K166" s="1040"/>
      <c r="L166" s="1040"/>
      <c r="M166" s="1040"/>
      <c r="N166" s="1040"/>
      <c r="O166" s="1040"/>
      <c r="P166" s="1040"/>
      <c r="Q166" s="1040"/>
      <c r="R166" s="1040"/>
      <c r="S166" s="1040"/>
      <c r="T166" s="1040"/>
      <c r="U166" s="1040"/>
      <c r="V166" s="1040"/>
      <c r="W166" s="1040"/>
      <c r="X166" s="429"/>
      <c r="AH166" s="363"/>
    </row>
    <row r="167" spans="1:34" ht="12.75" hidden="1">
      <c r="A167" s="636"/>
      <c r="B167" s="1040"/>
      <c r="C167" s="1040"/>
      <c r="D167" s="1040"/>
      <c r="E167" s="1040"/>
      <c r="F167" s="1040"/>
      <c r="G167" s="1040"/>
      <c r="H167" s="1040"/>
      <c r="I167" s="1040"/>
      <c r="J167" s="1040"/>
      <c r="K167" s="1040"/>
      <c r="L167" s="1040"/>
      <c r="M167" s="1040"/>
      <c r="N167" s="1040"/>
      <c r="O167" s="1040"/>
      <c r="P167" s="1040"/>
      <c r="Q167" s="1040"/>
      <c r="R167" s="1040"/>
      <c r="S167" s="1040"/>
      <c r="T167" s="1040"/>
      <c r="U167" s="1040"/>
      <c r="V167" s="1040"/>
      <c r="W167" s="1040"/>
      <c r="X167" s="429"/>
      <c r="AH167" s="363"/>
    </row>
    <row r="168" spans="1:45" ht="3" customHeight="1" hidden="1">
      <c r="A168" s="636"/>
      <c r="B168" s="637"/>
      <c r="C168" s="637"/>
      <c r="D168" s="637"/>
      <c r="E168" s="637"/>
      <c r="F168" s="637"/>
      <c r="G168" s="637"/>
      <c r="H168" s="637"/>
      <c r="I168" s="637"/>
      <c r="J168" s="637"/>
      <c r="K168" s="637"/>
      <c r="L168" s="637"/>
      <c r="M168" s="637"/>
      <c r="N168" s="637"/>
      <c r="O168" s="637"/>
      <c r="P168" s="637"/>
      <c r="Q168" s="637"/>
      <c r="R168" s="637"/>
      <c r="S168" s="637"/>
      <c r="T168" s="637"/>
      <c r="U168" s="637"/>
      <c r="V168" s="637"/>
      <c r="W168" s="637"/>
      <c r="X168" s="429"/>
      <c r="AH168" s="363"/>
      <c r="AM168" s="216"/>
      <c r="AN168" s="216"/>
      <c r="AO168" s="216"/>
      <c r="AP168" s="12"/>
      <c r="AQ168" s="12"/>
      <c r="AR168" s="12"/>
      <c r="AS168" s="12"/>
    </row>
    <row r="169" spans="1:45" ht="12.75" customHeight="1" hidden="1">
      <c r="A169" s="1128" t="s">
        <v>203</v>
      </c>
      <c r="B169" s="1047" t="s">
        <v>204</v>
      </c>
      <c r="C169" s="1048"/>
      <c r="D169" s="1048"/>
      <c r="E169" s="1048"/>
      <c r="F169" s="1048"/>
      <c r="G169" s="1048"/>
      <c r="H169" s="1048"/>
      <c r="I169" s="1048"/>
      <c r="J169" s="1048"/>
      <c r="K169" s="1048"/>
      <c r="L169" s="1048"/>
      <c r="M169" s="1048"/>
      <c r="N169" s="1049"/>
      <c r="O169" s="1029" t="s">
        <v>205</v>
      </c>
      <c r="P169" s="1029"/>
      <c r="Q169" s="1029"/>
      <c r="R169" s="1029"/>
      <c r="S169" s="1029"/>
      <c r="T169" s="1029"/>
      <c r="U169" s="1029"/>
      <c r="V169" s="1029"/>
      <c r="W169" s="1029"/>
      <c r="X169" s="429"/>
      <c r="AH169" s="363"/>
      <c r="AM169" s="186"/>
      <c r="AN169" s="186"/>
      <c r="AO169" s="186"/>
      <c r="AP169" s="12"/>
      <c r="AQ169" s="12"/>
      <c r="AR169" s="12"/>
      <c r="AS169" s="12"/>
    </row>
    <row r="170" spans="1:45" ht="14.25" customHeight="1" hidden="1">
      <c r="A170" s="1129"/>
      <c r="B170" s="1050"/>
      <c r="C170" s="1051"/>
      <c r="D170" s="1051"/>
      <c r="E170" s="1051"/>
      <c r="F170" s="1051"/>
      <c r="G170" s="1051"/>
      <c r="H170" s="1051"/>
      <c r="I170" s="1051"/>
      <c r="J170" s="1051"/>
      <c r="K170" s="1051"/>
      <c r="L170" s="1051"/>
      <c r="M170" s="1051"/>
      <c r="N170" s="1052"/>
      <c r="O170" s="1029"/>
      <c r="P170" s="1029"/>
      <c r="Q170" s="1029"/>
      <c r="R170" s="1029"/>
      <c r="S170" s="1029"/>
      <c r="T170" s="1029"/>
      <c r="U170" s="1029"/>
      <c r="V170" s="1029"/>
      <c r="W170" s="1029"/>
      <c r="X170" s="429"/>
      <c r="AB170" s="138"/>
      <c r="AH170" s="363"/>
      <c r="AM170" s="12"/>
      <c r="AN170" s="12"/>
      <c r="AO170" s="12"/>
      <c r="AP170" s="12"/>
      <c r="AQ170" s="12"/>
      <c r="AR170" s="12"/>
      <c r="AS170" s="12"/>
    </row>
    <row r="171" spans="1:45" ht="12.75" customHeight="1" hidden="1">
      <c r="A171" s="1130"/>
      <c r="B171" s="1053"/>
      <c r="C171" s="1054"/>
      <c r="D171" s="1054"/>
      <c r="E171" s="1054"/>
      <c r="F171" s="1054"/>
      <c r="G171" s="1054"/>
      <c r="H171" s="1054"/>
      <c r="I171" s="1054"/>
      <c r="J171" s="1054"/>
      <c r="K171" s="1054"/>
      <c r="L171" s="1054"/>
      <c r="M171" s="1054"/>
      <c r="N171" s="1055"/>
      <c r="O171" s="1068">
        <v>0</v>
      </c>
      <c r="P171" s="1069"/>
      <c r="Q171" s="1069"/>
      <c r="R171" s="1070"/>
      <c r="S171" s="1042" t="s">
        <v>229</v>
      </c>
      <c r="T171" s="1042"/>
      <c r="U171" s="1042"/>
      <c r="V171" s="1042"/>
      <c r="W171" s="1042"/>
      <c r="X171" s="429"/>
      <c r="AB171" s="178"/>
      <c r="AG171" s="12"/>
      <c r="AH171" s="363"/>
      <c r="AM171" s="12"/>
      <c r="AN171" s="12"/>
      <c r="AO171" s="12"/>
      <c r="AP171" s="12"/>
      <c r="AQ171" s="12"/>
      <c r="AR171" s="12"/>
      <c r="AS171" s="12"/>
    </row>
    <row r="172" spans="1:45" ht="12.75" customHeight="1" hidden="1">
      <c r="A172" s="638" t="s">
        <v>352</v>
      </c>
      <c r="B172" s="1056" t="s">
        <v>317</v>
      </c>
      <c r="C172" s="1057"/>
      <c r="D172" s="1057"/>
      <c r="E172" s="1057"/>
      <c r="F172" s="1057"/>
      <c r="G172" s="1057"/>
      <c r="H172" s="1057"/>
      <c r="I172" s="1057"/>
      <c r="J172" s="1057"/>
      <c r="K172" s="1057"/>
      <c r="L172" s="1057"/>
      <c r="M172" s="1057"/>
      <c r="N172" s="1058"/>
      <c r="O172" s="1030" t="s">
        <v>371</v>
      </c>
      <c r="P172" s="1030"/>
      <c r="Q172" s="1030"/>
      <c r="R172" s="1031"/>
      <c r="S172" s="1111" t="s">
        <v>353</v>
      </c>
      <c r="T172" s="1030"/>
      <c r="U172" s="1030"/>
      <c r="V172" s="1030"/>
      <c r="W172" s="1031"/>
      <c r="X172" s="429"/>
      <c r="AB172" s="178"/>
      <c r="AH172" s="363"/>
      <c r="AM172" s="12"/>
      <c r="AN172" s="12"/>
      <c r="AO172" s="12"/>
      <c r="AP172" s="12"/>
      <c r="AQ172" s="12"/>
      <c r="AR172" s="12"/>
      <c r="AS172" s="12"/>
    </row>
    <row r="173" spans="1:45" ht="15" customHeight="1" hidden="1">
      <c r="A173" s="639"/>
      <c r="B173" s="1059"/>
      <c r="C173" s="1060"/>
      <c r="D173" s="1060"/>
      <c r="E173" s="1060"/>
      <c r="F173" s="1060"/>
      <c r="G173" s="1060"/>
      <c r="H173" s="1060"/>
      <c r="I173" s="1060"/>
      <c r="J173" s="1060"/>
      <c r="K173" s="1060"/>
      <c r="L173" s="1060"/>
      <c r="M173" s="1060"/>
      <c r="N173" s="1061"/>
      <c r="O173" s="1032"/>
      <c r="P173" s="1032"/>
      <c r="Q173" s="1032"/>
      <c r="R173" s="1033"/>
      <c r="S173" s="1112"/>
      <c r="T173" s="1032"/>
      <c r="U173" s="1032"/>
      <c r="V173" s="1032"/>
      <c r="W173" s="1033"/>
      <c r="X173" s="429"/>
      <c r="AB173" s="178"/>
      <c r="AH173" s="363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 ht="2.25" customHeight="1" hidden="1">
      <c r="A174" s="639"/>
      <c r="B174" s="1059"/>
      <c r="C174" s="1060"/>
      <c r="D174" s="1060"/>
      <c r="E174" s="1060"/>
      <c r="F174" s="1060"/>
      <c r="G174" s="1060"/>
      <c r="H174" s="1060"/>
      <c r="I174" s="1060"/>
      <c r="J174" s="1060"/>
      <c r="K174" s="1060"/>
      <c r="L174" s="1060"/>
      <c r="M174" s="1060"/>
      <c r="N174" s="1061"/>
      <c r="O174" s="1032"/>
      <c r="P174" s="1032"/>
      <c r="Q174" s="1032"/>
      <c r="R174" s="1033"/>
      <c r="S174" s="1112"/>
      <c r="T174" s="1032"/>
      <c r="U174" s="1032"/>
      <c r="V174" s="1032"/>
      <c r="W174" s="1033"/>
      <c r="X174" s="429"/>
      <c r="AH174" s="363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 ht="12.75" customHeight="1" hidden="1">
      <c r="A175" s="639"/>
      <c r="B175" s="1036" t="s">
        <v>318</v>
      </c>
      <c r="C175" s="1037"/>
      <c r="D175" s="1037"/>
      <c r="E175" s="1037"/>
      <c r="F175" s="1037"/>
      <c r="G175" s="1037"/>
      <c r="H175" s="1037"/>
      <c r="I175" s="1037"/>
      <c r="J175" s="1037"/>
      <c r="K175" s="1037"/>
      <c r="L175" s="1037"/>
      <c r="M175" s="1037"/>
      <c r="N175" s="1038"/>
      <c r="O175" s="1032"/>
      <c r="P175" s="1032"/>
      <c r="Q175" s="1032"/>
      <c r="R175" s="1033"/>
      <c r="S175" s="1113" t="s">
        <v>344</v>
      </c>
      <c r="T175" s="1114"/>
      <c r="U175" s="1114"/>
      <c r="V175" s="1114"/>
      <c r="W175" s="1115"/>
      <c r="X175" s="429"/>
      <c r="AB175" s="578"/>
      <c r="AH175" s="363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45" ht="12.75" hidden="1">
      <c r="A176" s="639"/>
      <c r="B176" s="1036"/>
      <c r="C176" s="1037"/>
      <c r="D176" s="1037"/>
      <c r="E176" s="1037"/>
      <c r="F176" s="1037"/>
      <c r="G176" s="1037"/>
      <c r="H176" s="1037"/>
      <c r="I176" s="1037"/>
      <c r="J176" s="1037"/>
      <c r="K176" s="1037"/>
      <c r="L176" s="1037"/>
      <c r="M176" s="1037"/>
      <c r="N176" s="1038"/>
      <c r="O176" s="1032"/>
      <c r="P176" s="1032"/>
      <c r="Q176" s="1032"/>
      <c r="R176" s="1033"/>
      <c r="S176" s="1116" t="s">
        <v>267</v>
      </c>
      <c r="T176" s="1117"/>
      <c r="U176" s="1117"/>
      <c r="V176" s="1117"/>
      <c r="W176" s="1118"/>
      <c r="X176" s="429"/>
      <c r="AB176" s="578"/>
      <c r="AH176" s="363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1:45" ht="12.75" hidden="1">
      <c r="A177" s="639"/>
      <c r="B177" s="1036"/>
      <c r="C177" s="1037"/>
      <c r="D177" s="1037"/>
      <c r="E177" s="1037"/>
      <c r="F177" s="1037"/>
      <c r="G177" s="1037"/>
      <c r="H177" s="1037"/>
      <c r="I177" s="1037"/>
      <c r="J177" s="1037"/>
      <c r="K177" s="1037"/>
      <c r="L177" s="1037"/>
      <c r="M177" s="1037"/>
      <c r="N177" s="1038"/>
      <c r="O177" s="1034"/>
      <c r="P177" s="1034"/>
      <c r="Q177" s="1034"/>
      <c r="R177" s="1035"/>
      <c r="S177" s="1119" t="s">
        <v>268</v>
      </c>
      <c r="T177" s="1120"/>
      <c r="U177" s="1120"/>
      <c r="V177" s="1120"/>
      <c r="W177" s="1121"/>
      <c r="X177" s="429"/>
      <c r="AD177" s="346" t="s">
        <v>404</v>
      </c>
      <c r="AH177" s="363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 ht="17.25" customHeight="1" hidden="1">
      <c r="A178" s="639"/>
      <c r="B178" s="1036" t="str">
        <f>'общие сведения'!B25:I25</f>
        <v>(в межаттестационный период мониторинги системы образовния по предмету не проводились)</v>
      </c>
      <c r="C178" s="1037"/>
      <c r="D178" s="1037"/>
      <c r="E178" s="1037"/>
      <c r="F178" s="1037"/>
      <c r="G178" s="1037"/>
      <c r="H178" s="1037"/>
      <c r="I178" s="1037"/>
      <c r="J178" s="1037"/>
      <c r="K178" s="1037"/>
      <c r="L178" s="1037"/>
      <c r="M178" s="1037"/>
      <c r="N178" s="1038"/>
      <c r="O178" s="1071" t="str">
        <f>IF(Y179=0,IF(OR(FIO="",AB179="нет"),"-",0),"")</f>
        <v>-</v>
      </c>
      <c r="P178" s="1072"/>
      <c r="Q178" s="1072"/>
      <c r="R178" s="1072"/>
      <c r="S178" s="1074"/>
      <c r="T178" s="1075"/>
      <c r="U178" s="1075"/>
      <c r="V178" s="1075"/>
      <c r="W178" s="1076"/>
      <c r="X178" s="429"/>
      <c r="Z178" s="240" t="s">
        <v>208</v>
      </c>
      <c r="AA178" s="241" t="s">
        <v>283</v>
      </c>
      <c r="AB178" s="157" t="s">
        <v>355</v>
      </c>
      <c r="AD178" s="281" t="str">
        <f>IF($AB$179="да",AD143,"-")</f>
        <v>-</v>
      </c>
      <c r="AE178" s="281" t="str">
        <f>IF($AB$179="да",AE143,"-")</f>
        <v>-</v>
      </c>
      <c r="AF178" s="281" t="str">
        <f>IF($AB$179="да",AF143,"-")</f>
        <v>-</v>
      </c>
      <c r="AG178" s="281" t="str">
        <f>IF($AB$179="да",AG143,"-")</f>
        <v>-</v>
      </c>
      <c r="AH178" s="363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 ht="12.75" customHeight="1" hidden="1">
      <c r="A179" s="640"/>
      <c r="B179" s="1065"/>
      <c r="C179" s="1066"/>
      <c r="D179" s="1066"/>
      <c r="E179" s="1066"/>
      <c r="F179" s="1066"/>
      <c r="G179" s="1066"/>
      <c r="H179" s="1066"/>
      <c r="I179" s="1066"/>
      <c r="J179" s="1066"/>
      <c r="K179" s="1066"/>
      <c r="L179" s="1066"/>
      <c r="M179" s="1066"/>
      <c r="N179" s="1067"/>
      <c r="O179" s="1071"/>
      <c r="P179" s="1072"/>
      <c r="Q179" s="1072"/>
      <c r="R179" s="1072"/>
      <c r="S179" s="1077"/>
      <c r="T179" s="1078"/>
      <c r="U179" s="1078"/>
      <c r="V179" s="1078"/>
      <c r="W179" s="1079"/>
      <c r="X179" s="429"/>
      <c r="Y179" s="256">
        <f>IF(AB179="да",S178,0)</f>
        <v>0</v>
      </c>
      <c r="Z179" s="242">
        <f>IF(AB179="нет",0,100)</f>
        <v>0</v>
      </c>
      <c r="AA179" s="259">
        <f>IF(AB179="нет",0,60)</f>
        <v>0</v>
      </c>
      <c r="AB179" s="309" t="str">
        <f>'общие сведения'!K19</f>
        <v>нет</v>
      </c>
      <c r="AC179" s="334" t="b">
        <f>OR(S178=0,$S$178="-")</f>
        <v>1</v>
      </c>
      <c r="AH179" s="363"/>
      <c r="AI179" s="12" t="s">
        <v>5</v>
      </c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1:45" ht="11.25" customHeight="1">
      <c r="A180" s="237"/>
      <c r="B180" s="188"/>
      <c r="C180" s="188"/>
      <c r="D180" s="188"/>
      <c r="E180" s="188"/>
      <c r="F180" s="188"/>
      <c r="G180" s="233"/>
      <c r="H180" s="233"/>
      <c r="I180" s="233"/>
      <c r="J180" s="233"/>
      <c r="K180" s="233"/>
      <c r="L180" s="183"/>
      <c r="M180" s="183"/>
      <c r="N180" s="183"/>
      <c r="O180" s="183"/>
      <c r="P180" s="183"/>
      <c r="Q180" s="183"/>
      <c r="R180" s="183"/>
      <c r="S180" s="184"/>
      <c r="T180" s="184"/>
      <c r="U180" s="184"/>
      <c r="V180" s="184"/>
      <c r="W180" s="184"/>
      <c r="X180" s="429"/>
      <c r="AD180" s="178"/>
      <c r="AG180" s="12"/>
      <c r="AH180" s="363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1:34" ht="12.75">
      <c r="A181" s="158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429"/>
      <c r="AA181" s="240" t="s">
        <v>284</v>
      </c>
      <c r="AB181" s="240" t="s">
        <v>208</v>
      </c>
      <c r="AC181" s="273" t="s">
        <v>283</v>
      </c>
      <c r="AD181" s="178"/>
      <c r="AE181" s="307" t="s">
        <v>285</v>
      </c>
      <c r="AH181" s="363"/>
    </row>
    <row r="182" spans="1:45" ht="32.25" customHeight="1">
      <c r="A182" s="608" t="s">
        <v>269</v>
      </c>
      <c r="B182" s="932" t="s">
        <v>682</v>
      </c>
      <c r="C182" s="932"/>
      <c r="D182" s="932"/>
      <c r="E182" s="932"/>
      <c r="F182" s="932"/>
      <c r="G182" s="932"/>
      <c r="H182" s="932"/>
      <c r="I182" s="932"/>
      <c r="J182" s="932"/>
      <c r="K182" s="932"/>
      <c r="L182" s="932"/>
      <c r="M182" s="932"/>
      <c r="N182" s="932"/>
      <c r="O182" s="932"/>
      <c r="P182" s="932"/>
      <c r="Q182" s="932"/>
      <c r="R182" s="932"/>
      <c r="S182" s="932"/>
      <c r="T182" s="932"/>
      <c r="U182" s="932"/>
      <c r="V182" s="932"/>
      <c r="W182" s="932"/>
      <c r="X182" s="429"/>
      <c r="Y182" s="282" t="str">
        <f>A182</f>
        <v>2. </v>
      </c>
      <c r="Z182" s="260" t="s">
        <v>292</v>
      </c>
      <c r="AA182" s="257">
        <f>SUM(Y183:Y267)</f>
        <v>0</v>
      </c>
      <c r="AB182" s="258">
        <f>SUM(Z183:Z267)</f>
        <v>340</v>
      </c>
      <c r="AC182" s="308">
        <f>SUM(AA183:AA267)</f>
        <v>20</v>
      </c>
      <c r="AD182" s="178"/>
      <c r="AE182" s="307" t="b">
        <f>итого_2&gt;=AC182</f>
        <v>0</v>
      </c>
      <c r="AH182" s="363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 ht="13.5">
      <c r="A183" s="1080" t="s">
        <v>201</v>
      </c>
      <c r="B183" s="1080"/>
      <c r="C183" s="1080"/>
      <c r="D183" s="1080"/>
      <c r="E183" s="1080"/>
      <c r="F183" s="1080"/>
      <c r="G183" s="1080"/>
      <c r="H183" s="1080"/>
      <c r="I183" s="1080"/>
      <c r="J183" s="1080"/>
      <c r="K183" s="1080"/>
      <c r="L183" s="1080"/>
      <c r="M183" s="1080"/>
      <c r="N183" s="1080"/>
      <c r="O183" s="1080"/>
      <c r="P183" s="1080"/>
      <c r="Q183" s="1080"/>
      <c r="R183" s="1080"/>
      <c r="S183" s="1080"/>
      <c r="T183" s="1080"/>
      <c r="U183" s="1080"/>
      <c r="V183" s="1080"/>
      <c r="W183" s="1080"/>
      <c r="X183" s="429"/>
      <c r="AD183" s="178"/>
      <c r="AH183" s="363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 ht="12.75">
      <c r="A184" s="193" t="s">
        <v>202</v>
      </c>
      <c r="B184" s="1122" t="s">
        <v>316</v>
      </c>
      <c r="C184" s="1122"/>
      <c r="D184" s="1122"/>
      <c r="E184" s="1122"/>
      <c r="F184" s="1122"/>
      <c r="G184" s="1122"/>
      <c r="H184" s="1122"/>
      <c r="I184" s="1122"/>
      <c r="J184" s="1122"/>
      <c r="K184" s="1122"/>
      <c r="L184" s="1122"/>
      <c r="M184" s="1122"/>
      <c r="N184" s="1122"/>
      <c r="O184" s="1122"/>
      <c r="P184" s="1122"/>
      <c r="Q184" s="1122"/>
      <c r="R184" s="1122"/>
      <c r="S184" s="1122"/>
      <c r="T184" s="1122"/>
      <c r="U184" s="1122"/>
      <c r="V184" s="1122"/>
      <c r="W184" s="1122"/>
      <c r="X184" s="429"/>
      <c r="AH184" s="363"/>
      <c r="AM184" s="12"/>
      <c r="AN184" s="12"/>
      <c r="AO184" s="12"/>
      <c r="AP184" s="12"/>
      <c r="AQ184" s="12"/>
      <c r="AR184" s="12"/>
      <c r="AS184" s="12"/>
    </row>
    <row r="185" spans="1:45" ht="6" customHeight="1">
      <c r="A185" s="250"/>
      <c r="B185" s="1122"/>
      <c r="C185" s="1122"/>
      <c r="D185" s="1122"/>
      <c r="E185" s="1122"/>
      <c r="F185" s="1122"/>
      <c r="G185" s="1122"/>
      <c r="H185" s="1122"/>
      <c r="I185" s="1122"/>
      <c r="J185" s="1122"/>
      <c r="K185" s="1122"/>
      <c r="L185" s="1122"/>
      <c r="M185" s="1122"/>
      <c r="N185" s="1122"/>
      <c r="O185" s="1122"/>
      <c r="P185" s="1122"/>
      <c r="Q185" s="1122"/>
      <c r="R185" s="1122"/>
      <c r="S185" s="1122"/>
      <c r="T185" s="1122"/>
      <c r="U185" s="1122"/>
      <c r="V185" s="1122"/>
      <c r="W185" s="1122"/>
      <c r="X185" s="429"/>
      <c r="AH185" s="363"/>
      <c r="AM185" s="12"/>
      <c r="AN185" s="12"/>
      <c r="AO185" s="12"/>
      <c r="AP185" s="12"/>
      <c r="AQ185" s="12"/>
      <c r="AR185" s="12"/>
      <c r="AS185" s="12"/>
    </row>
    <row r="186" spans="1:45" ht="12.75">
      <c r="A186" s="250"/>
      <c r="B186" s="1122"/>
      <c r="C186" s="1122"/>
      <c r="D186" s="1122"/>
      <c r="E186" s="1122"/>
      <c r="F186" s="1122"/>
      <c r="G186" s="1122"/>
      <c r="H186" s="1122"/>
      <c r="I186" s="1122"/>
      <c r="J186" s="1122"/>
      <c r="K186" s="1122"/>
      <c r="L186" s="1122"/>
      <c r="M186" s="1122"/>
      <c r="N186" s="1122"/>
      <c r="O186" s="1122"/>
      <c r="P186" s="1122"/>
      <c r="Q186" s="1122"/>
      <c r="R186" s="1122"/>
      <c r="S186" s="1122"/>
      <c r="T186" s="1122"/>
      <c r="U186" s="1122"/>
      <c r="V186" s="1122"/>
      <c r="W186" s="1122"/>
      <c r="X186" s="429"/>
      <c r="Z186" s="12"/>
      <c r="AH186" s="363"/>
      <c r="AN186" s="12"/>
      <c r="AO186" s="12"/>
      <c r="AP186" s="12"/>
      <c r="AQ186" s="12"/>
      <c r="AR186" s="12"/>
      <c r="AS186" s="12"/>
    </row>
    <row r="187" spans="1:45" ht="12.75">
      <c r="A187" s="193" t="s">
        <v>202</v>
      </c>
      <c r="B187" s="1122" t="s">
        <v>315</v>
      </c>
      <c r="C187" s="1122"/>
      <c r="D187" s="1122"/>
      <c r="E187" s="1122"/>
      <c r="F187" s="1122"/>
      <c r="G187" s="1122"/>
      <c r="H187" s="1122"/>
      <c r="I187" s="1122"/>
      <c r="J187" s="1122"/>
      <c r="K187" s="1122"/>
      <c r="L187" s="1122"/>
      <c r="M187" s="1122"/>
      <c r="N187" s="1122"/>
      <c r="O187" s="1122"/>
      <c r="P187" s="1122"/>
      <c r="Q187" s="1122"/>
      <c r="R187" s="1122"/>
      <c r="S187" s="1122"/>
      <c r="T187" s="1122"/>
      <c r="U187" s="1122"/>
      <c r="V187" s="1122"/>
      <c r="W187" s="1122"/>
      <c r="X187" s="429"/>
      <c r="AH187" s="363"/>
      <c r="AN187" s="12"/>
      <c r="AO187" s="12"/>
      <c r="AP187" s="12"/>
      <c r="AQ187" s="12"/>
      <c r="AR187" s="12"/>
      <c r="AS187" s="12"/>
    </row>
    <row r="188" spans="2:45" ht="12.75">
      <c r="B188" s="1122"/>
      <c r="C188" s="1122"/>
      <c r="D188" s="1122"/>
      <c r="E188" s="1122"/>
      <c r="F188" s="1122"/>
      <c r="G188" s="1122"/>
      <c r="H188" s="1122"/>
      <c r="I188" s="1122"/>
      <c r="J188" s="1122"/>
      <c r="K188" s="1122"/>
      <c r="L188" s="1122"/>
      <c r="M188" s="1122"/>
      <c r="N188" s="1122"/>
      <c r="O188" s="1122"/>
      <c r="P188" s="1122"/>
      <c r="Q188" s="1122"/>
      <c r="R188" s="1122"/>
      <c r="S188" s="1122"/>
      <c r="T188" s="1122"/>
      <c r="U188" s="1122"/>
      <c r="V188" s="1122"/>
      <c r="W188" s="1122"/>
      <c r="X188" s="429"/>
      <c r="AH188" s="363"/>
      <c r="AM188" s="12"/>
      <c r="AN188" s="12"/>
      <c r="AO188" s="12"/>
      <c r="AP188" s="12"/>
      <c r="AQ188" s="12"/>
      <c r="AR188" s="12"/>
      <c r="AS188" s="12"/>
    </row>
    <row r="189" spans="2:45" ht="12.75">
      <c r="B189" s="1122"/>
      <c r="C189" s="1122"/>
      <c r="D189" s="1122"/>
      <c r="E189" s="1122"/>
      <c r="F189" s="1122"/>
      <c r="G189" s="1122"/>
      <c r="H189" s="1122"/>
      <c r="I189" s="1122"/>
      <c r="J189" s="1122"/>
      <c r="K189" s="1122"/>
      <c r="L189" s="1122"/>
      <c r="M189" s="1122"/>
      <c r="N189" s="1122"/>
      <c r="O189" s="1122"/>
      <c r="P189" s="1122"/>
      <c r="Q189" s="1122"/>
      <c r="R189" s="1122"/>
      <c r="S189" s="1122"/>
      <c r="T189" s="1122"/>
      <c r="U189" s="1122"/>
      <c r="V189" s="1122"/>
      <c r="W189" s="1122"/>
      <c r="X189" s="429"/>
      <c r="AH189" s="363"/>
      <c r="AM189" s="12"/>
      <c r="AN189" s="12"/>
      <c r="AO189" s="12"/>
      <c r="AP189" s="12"/>
      <c r="AQ189" s="12"/>
      <c r="AR189" s="12"/>
      <c r="AS189" s="12"/>
    </row>
    <row r="190" spans="2:34" ht="12.75" customHeight="1">
      <c r="B190" s="1122"/>
      <c r="C190" s="1122"/>
      <c r="D190" s="1122"/>
      <c r="E190" s="1122"/>
      <c r="F190" s="1122"/>
      <c r="G190" s="1122"/>
      <c r="H190" s="1122"/>
      <c r="I190" s="1122"/>
      <c r="J190" s="1122"/>
      <c r="K190" s="1122"/>
      <c r="L190" s="1122"/>
      <c r="M190" s="1122"/>
      <c r="N190" s="1122"/>
      <c r="O190" s="1122"/>
      <c r="P190" s="1122"/>
      <c r="Q190" s="1122"/>
      <c r="R190" s="1122"/>
      <c r="S190" s="1122"/>
      <c r="T190" s="1122"/>
      <c r="U190" s="1122"/>
      <c r="V190" s="1122"/>
      <c r="W190" s="1122"/>
      <c r="X190" s="429"/>
      <c r="AH190" s="363"/>
    </row>
    <row r="191" spans="1:34" ht="14.25">
      <c r="A191" s="803" t="s">
        <v>203</v>
      </c>
      <c r="B191" s="824" t="s">
        <v>204</v>
      </c>
      <c r="C191" s="825"/>
      <c r="D191" s="825"/>
      <c r="E191" s="825"/>
      <c r="F191" s="825"/>
      <c r="G191" s="826"/>
      <c r="H191" s="787" t="s">
        <v>205</v>
      </c>
      <c r="I191" s="788"/>
      <c r="J191" s="788"/>
      <c r="K191" s="788"/>
      <c r="L191" s="788"/>
      <c r="M191" s="788"/>
      <c r="N191" s="788"/>
      <c r="O191" s="788"/>
      <c r="P191" s="788"/>
      <c r="Q191" s="788"/>
      <c r="R191" s="788"/>
      <c r="S191" s="788"/>
      <c r="T191" s="788"/>
      <c r="U191" s="788"/>
      <c r="V191" s="788"/>
      <c r="W191" s="789"/>
      <c r="X191" s="363"/>
      <c r="AH191" s="363"/>
    </row>
    <row r="192" spans="1:34" ht="12.75">
      <c r="A192" s="804"/>
      <c r="B192" s="827"/>
      <c r="C192" s="828"/>
      <c r="D192" s="828"/>
      <c r="E192" s="828"/>
      <c r="F192" s="828"/>
      <c r="G192" s="829"/>
      <c r="H192" s="833" t="s">
        <v>206</v>
      </c>
      <c r="I192" s="834"/>
      <c r="J192" s="834"/>
      <c r="K192" s="834"/>
      <c r="L192" s="834"/>
      <c r="M192" s="834"/>
      <c r="N192" s="834"/>
      <c r="O192" s="834"/>
      <c r="P192" s="834"/>
      <c r="Q192" s="834"/>
      <c r="R192" s="834"/>
      <c r="S192" s="834"/>
      <c r="T192" s="834"/>
      <c r="U192" s="834"/>
      <c r="V192" s="834"/>
      <c r="W192" s="835"/>
      <c r="X192" s="363"/>
      <c r="AH192" s="363"/>
    </row>
    <row r="193" spans="1:34" ht="12.75">
      <c r="A193" s="805"/>
      <c r="B193" s="830"/>
      <c r="C193" s="831"/>
      <c r="D193" s="831"/>
      <c r="E193" s="831"/>
      <c r="F193" s="831"/>
      <c r="G193" s="832"/>
      <c r="H193" s="821">
        <v>0</v>
      </c>
      <c r="I193" s="822"/>
      <c r="J193" s="822"/>
      <c r="K193" s="823"/>
      <c r="L193" s="821" t="s">
        <v>270</v>
      </c>
      <c r="M193" s="822"/>
      <c r="N193" s="822"/>
      <c r="O193" s="822"/>
      <c r="P193" s="823"/>
      <c r="Q193" s="821">
        <v>30</v>
      </c>
      <c r="R193" s="822"/>
      <c r="S193" s="822"/>
      <c r="T193" s="822"/>
      <c r="U193" s="822"/>
      <c r="V193" s="822"/>
      <c r="W193" s="823"/>
      <c r="X193" s="363"/>
      <c r="AH193" s="363"/>
    </row>
    <row r="194" spans="1:34" ht="12.75">
      <c r="A194" s="790" t="s">
        <v>427</v>
      </c>
      <c r="B194" s="778" t="s">
        <v>711</v>
      </c>
      <c r="C194" s="779"/>
      <c r="D194" s="779"/>
      <c r="E194" s="779"/>
      <c r="F194" s="779"/>
      <c r="G194" s="780"/>
      <c r="H194" s="854" t="s">
        <v>719</v>
      </c>
      <c r="I194" s="854"/>
      <c r="J194" s="854"/>
      <c r="K194" s="854"/>
      <c r="L194" s="854" t="s">
        <v>720</v>
      </c>
      <c r="M194" s="854"/>
      <c r="N194" s="854"/>
      <c r="O194" s="854"/>
      <c r="P194" s="854"/>
      <c r="Q194" s="845" t="s">
        <v>712</v>
      </c>
      <c r="R194" s="846"/>
      <c r="S194" s="846"/>
      <c r="T194" s="846"/>
      <c r="U194" s="846"/>
      <c r="V194" s="846"/>
      <c r="W194" s="847"/>
      <c r="X194" s="363"/>
      <c r="AH194" s="363"/>
    </row>
    <row r="195" spans="1:34" ht="12.75">
      <c r="A195" s="791"/>
      <c r="B195" s="781"/>
      <c r="C195" s="782"/>
      <c r="D195" s="782"/>
      <c r="E195" s="782"/>
      <c r="F195" s="782"/>
      <c r="G195" s="783"/>
      <c r="H195" s="854"/>
      <c r="I195" s="854"/>
      <c r="J195" s="854"/>
      <c r="K195" s="854"/>
      <c r="L195" s="854"/>
      <c r="M195" s="854"/>
      <c r="N195" s="854"/>
      <c r="O195" s="854"/>
      <c r="P195" s="854"/>
      <c r="Q195" s="848"/>
      <c r="R195" s="849"/>
      <c r="S195" s="849"/>
      <c r="T195" s="849"/>
      <c r="U195" s="849"/>
      <c r="V195" s="849"/>
      <c r="W195" s="850"/>
      <c r="X195" s="363"/>
      <c r="AH195" s="363"/>
    </row>
    <row r="196" spans="1:34" ht="12.75">
      <c r="A196" s="791"/>
      <c r="B196" s="781"/>
      <c r="C196" s="782"/>
      <c r="D196" s="782"/>
      <c r="E196" s="782"/>
      <c r="F196" s="782"/>
      <c r="G196" s="783"/>
      <c r="H196" s="854"/>
      <c r="I196" s="854"/>
      <c r="J196" s="854"/>
      <c r="K196" s="854"/>
      <c r="L196" s="854"/>
      <c r="M196" s="854"/>
      <c r="N196" s="854"/>
      <c r="O196" s="854"/>
      <c r="P196" s="854"/>
      <c r="Q196" s="848"/>
      <c r="R196" s="849"/>
      <c r="S196" s="849"/>
      <c r="T196" s="849"/>
      <c r="U196" s="849"/>
      <c r="V196" s="849"/>
      <c r="W196" s="850"/>
      <c r="X196" s="363"/>
      <c r="AH196" s="363"/>
    </row>
    <row r="197" spans="1:34" ht="53.25" customHeight="1">
      <c r="A197" s="791"/>
      <c r="B197" s="781"/>
      <c r="C197" s="782"/>
      <c r="D197" s="782"/>
      <c r="E197" s="782"/>
      <c r="F197" s="782"/>
      <c r="G197" s="783"/>
      <c r="H197" s="854"/>
      <c r="I197" s="854"/>
      <c r="J197" s="854"/>
      <c r="K197" s="854"/>
      <c r="L197" s="854"/>
      <c r="M197" s="854"/>
      <c r="N197" s="854"/>
      <c r="O197" s="854"/>
      <c r="P197" s="854"/>
      <c r="Q197" s="851"/>
      <c r="R197" s="852"/>
      <c r="S197" s="852"/>
      <c r="T197" s="852"/>
      <c r="U197" s="852"/>
      <c r="V197" s="852"/>
      <c r="W197" s="853"/>
      <c r="X197" s="363"/>
      <c r="Y197" s="12"/>
      <c r="Z197" s="232"/>
      <c r="AH197" s="363"/>
    </row>
    <row r="198" spans="1:34" ht="12.75">
      <c r="A198" s="791"/>
      <c r="B198" s="781"/>
      <c r="C198" s="782"/>
      <c r="D198" s="782"/>
      <c r="E198" s="782"/>
      <c r="F198" s="782"/>
      <c r="G198" s="783"/>
      <c r="H198" s="770">
        <f>IF(Y199=0,IF(FIO="","",0),"")</f>
      </c>
      <c r="I198" s="770"/>
      <c r="J198" s="770"/>
      <c r="K198" s="770"/>
      <c r="L198" s="771"/>
      <c r="M198" s="771"/>
      <c r="N198" s="771"/>
      <c r="O198" s="771"/>
      <c r="P198" s="771"/>
      <c r="Q198" s="772"/>
      <c r="R198" s="773"/>
      <c r="S198" s="773"/>
      <c r="T198" s="773"/>
      <c r="U198" s="773"/>
      <c r="V198" s="773"/>
      <c r="W198" s="774"/>
      <c r="X198" s="363"/>
      <c r="Z198" s="240" t="s">
        <v>208</v>
      </c>
      <c r="AH198" s="363"/>
    </row>
    <row r="199" spans="1:34" ht="12.75">
      <c r="A199" s="792"/>
      <c r="B199" s="784"/>
      <c r="C199" s="785"/>
      <c r="D199" s="785"/>
      <c r="E199" s="785"/>
      <c r="F199" s="785"/>
      <c r="G199" s="786"/>
      <c r="H199" s="770"/>
      <c r="I199" s="770"/>
      <c r="J199" s="770"/>
      <c r="K199" s="770"/>
      <c r="L199" s="771"/>
      <c r="M199" s="771"/>
      <c r="N199" s="771"/>
      <c r="O199" s="771"/>
      <c r="P199" s="771"/>
      <c r="Q199" s="775"/>
      <c r="R199" s="776"/>
      <c r="S199" s="776"/>
      <c r="T199" s="776"/>
      <c r="U199" s="776"/>
      <c r="V199" s="776"/>
      <c r="W199" s="777"/>
      <c r="X199" s="363"/>
      <c r="Y199" s="256">
        <f>MAX(L198:W199)</f>
        <v>0</v>
      </c>
      <c r="Z199" s="242">
        <v>30</v>
      </c>
      <c r="AH199" s="363"/>
    </row>
    <row r="200" spans="1:34" ht="15">
      <c r="A200" s="790" t="s">
        <v>428</v>
      </c>
      <c r="B200" s="778" t="s">
        <v>713</v>
      </c>
      <c r="C200" s="779"/>
      <c r="D200" s="779"/>
      <c r="E200" s="779"/>
      <c r="F200" s="779"/>
      <c r="G200" s="780"/>
      <c r="H200" s="802" t="s">
        <v>716</v>
      </c>
      <c r="I200" s="802"/>
      <c r="J200" s="802"/>
      <c r="K200" s="802"/>
      <c r="L200" s="802" t="s">
        <v>699</v>
      </c>
      <c r="M200" s="802"/>
      <c r="N200" s="802"/>
      <c r="O200" s="802"/>
      <c r="P200" s="802"/>
      <c r="Q200" s="761" t="s">
        <v>700</v>
      </c>
      <c r="R200" s="762"/>
      <c r="S200" s="762"/>
      <c r="T200" s="762"/>
      <c r="U200" s="762"/>
      <c r="V200" s="762"/>
      <c r="W200" s="763"/>
      <c r="X200" s="363"/>
      <c r="AH200" s="363"/>
    </row>
    <row r="201" spans="1:34" ht="20.25" customHeight="1">
      <c r="A201" s="791"/>
      <c r="B201" s="895" t="s">
        <v>715</v>
      </c>
      <c r="C201" s="896"/>
      <c r="D201" s="896"/>
      <c r="E201" s="896"/>
      <c r="F201" s="896"/>
      <c r="G201" s="897"/>
      <c r="H201" s="802"/>
      <c r="I201" s="802"/>
      <c r="J201" s="802"/>
      <c r="K201" s="802"/>
      <c r="L201" s="802"/>
      <c r="M201" s="802"/>
      <c r="N201" s="802"/>
      <c r="O201" s="802"/>
      <c r="P201" s="802"/>
      <c r="Q201" s="764"/>
      <c r="R201" s="765"/>
      <c r="S201" s="765"/>
      <c r="T201" s="765"/>
      <c r="U201" s="765"/>
      <c r="V201" s="765"/>
      <c r="W201" s="766"/>
      <c r="X201" s="363"/>
      <c r="AH201" s="363"/>
    </row>
    <row r="202" spans="1:34" ht="52.5" customHeight="1">
      <c r="A202" s="791"/>
      <c r="B202" s="895"/>
      <c r="C202" s="896"/>
      <c r="D202" s="896"/>
      <c r="E202" s="896"/>
      <c r="F202" s="896"/>
      <c r="G202" s="897"/>
      <c r="H202" s="802"/>
      <c r="I202" s="802"/>
      <c r="J202" s="802"/>
      <c r="K202" s="802"/>
      <c r="L202" s="802"/>
      <c r="M202" s="802"/>
      <c r="N202" s="802"/>
      <c r="O202" s="802"/>
      <c r="P202" s="802"/>
      <c r="Q202" s="764"/>
      <c r="R202" s="765"/>
      <c r="S202" s="765"/>
      <c r="T202" s="765"/>
      <c r="U202" s="765"/>
      <c r="V202" s="765"/>
      <c r="W202" s="766"/>
      <c r="X202" s="363"/>
      <c r="AH202" s="363"/>
    </row>
    <row r="203" spans="1:34" ht="36" customHeight="1">
      <c r="A203" s="791"/>
      <c r="B203" s="895"/>
      <c r="C203" s="896"/>
      <c r="D203" s="896"/>
      <c r="E203" s="896"/>
      <c r="F203" s="896"/>
      <c r="G203" s="897"/>
      <c r="H203" s="802"/>
      <c r="I203" s="802"/>
      <c r="J203" s="802"/>
      <c r="K203" s="802"/>
      <c r="L203" s="802"/>
      <c r="M203" s="802"/>
      <c r="N203" s="802"/>
      <c r="O203" s="802"/>
      <c r="P203" s="802"/>
      <c r="Q203" s="767"/>
      <c r="R203" s="768"/>
      <c r="S203" s="768"/>
      <c r="T203" s="768"/>
      <c r="U203" s="768"/>
      <c r="V203" s="768"/>
      <c r="W203" s="769"/>
      <c r="X203" s="363"/>
      <c r="Y203" s="12"/>
      <c r="Z203" s="232"/>
      <c r="AH203" s="363"/>
    </row>
    <row r="204" spans="1:34" ht="21" customHeight="1">
      <c r="A204" s="791"/>
      <c r="B204" s="895"/>
      <c r="C204" s="896"/>
      <c r="D204" s="896"/>
      <c r="E204" s="896"/>
      <c r="F204" s="896"/>
      <c r="G204" s="897"/>
      <c r="H204" s="770">
        <f>IF(Y205=0,IF(FIO="","",0),"")</f>
      </c>
      <c r="I204" s="770"/>
      <c r="J204" s="770"/>
      <c r="K204" s="770"/>
      <c r="L204" s="771"/>
      <c r="M204" s="771"/>
      <c r="N204" s="771"/>
      <c r="O204" s="771"/>
      <c r="P204" s="771"/>
      <c r="Q204" s="772"/>
      <c r="R204" s="773"/>
      <c r="S204" s="773"/>
      <c r="T204" s="773"/>
      <c r="U204" s="773"/>
      <c r="V204" s="773"/>
      <c r="W204" s="774"/>
      <c r="X204" s="363"/>
      <c r="Z204" s="240" t="s">
        <v>208</v>
      </c>
      <c r="AH204" s="363"/>
    </row>
    <row r="205" spans="1:34" ht="12.75">
      <c r="A205" s="792"/>
      <c r="B205" s="898"/>
      <c r="C205" s="899"/>
      <c r="D205" s="899"/>
      <c r="E205" s="899"/>
      <c r="F205" s="899"/>
      <c r="G205" s="900"/>
      <c r="H205" s="770"/>
      <c r="I205" s="770"/>
      <c r="J205" s="770"/>
      <c r="K205" s="770"/>
      <c r="L205" s="771"/>
      <c r="M205" s="771"/>
      <c r="N205" s="771"/>
      <c r="O205" s="771"/>
      <c r="P205" s="771"/>
      <c r="Q205" s="775"/>
      <c r="R205" s="776"/>
      <c r="S205" s="776"/>
      <c r="T205" s="776"/>
      <c r="U205" s="776"/>
      <c r="V205" s="776"/>
      <c r="W205" s="777"/>
      <c r="X205" s="363"/>
      <c r="Y205" s="256">
        <f>MAX(L204:W205)</f>
        <v>0</v>
      </c>
      <c r="Z205" s="242">
        <v>30</v>
      </c>
      <c r="AH205" s="363"/>
    </row>
    <row r="206" spans="1:34" ht="12.75">
      <c r="A206" s="790" t="s">
        <v>429</v>
      </c>
      <c r="B206" s="778" t="s">
        <v>717</v>
      </c>
      <c r="C206" s="779"/>
      <c r="D206" s="779"/>
      <c r="E206" s="779"/>
      <c r="F206" s="779"/>
      <c r="G206" s="780"/>
      <c r="H206" s="802" t="s">
        <v>698</v>
      </c>
      <c r="I206" s="802"/>
      <c r="J206" s="802"/>
      <c r="K206" s="802"/>
      <c r="L206" s="802" t="s">
        <v>699</v>
      </c>
      <c r="M206" s="802"/>
      <c r="N206" s="802"/>
      <c r="O206" s="802"/>
      <c r="P206" s="802"/>
      <c r="Q206" s="761" t="s">
        <v>700</v>
      </c>
      <c r="R206" s="762"/>
      <c r="S206" s="762"/>
      <c r="T206" s="762"/>
      <c r="U206" s="762"/>
      <c r="V206" s="762"/>
      <c r="W206" s="763"/>
      <c r="X206" s="363"/>
      <c r="AH206" s="363"/>
    </row>
    <row r="207" spans="1:34" ht="12.75">
      <c r="A207" s="791"/>
      <c r="B207" s="781"/>
      <c r="C207" s="782"/>
      <c r="D207" s="782"/>
      <c r="E207" s="782"/>
      <c r="F207" s="782"/>
      <c r="G207" s="783"/>
      <c r="H207" s="802"/>
      <c r="I207" s="802"/>
      <c r="J207" s="802"/>
      <c r="K207" s="802"/>
      <c r="L207" s="802"/>
      <c r="M207" s="802"/>
      <c r="N207" s="802"/>
      <c r="O207" s="802"/>
      <c r="P207" s="802"/>
      <c r="Q207" s="764"/>
      <c r="R207" s="765"/>
      <c r="S207" s="765"/>
      <c r="T207" s="765"/>
      <c r="U207" s="765"/>
      <c r="V207" s="765"/>
      <c r="W207" s="766"/>
      <c r="X207" s="363"/>
      <c r="AH207" s="363"/>
    </row>
    <row r="208" spans="1:34" ht="12.75">
      <c r="A208" s="791"/>
      <c r="B208" s="781"/>
      <c r="C208" s="782"/>
      <c r="D208" s="782"/>
      <c r="E208" s="782"/>
      <c r="F208" s="782"/>
      <c r="G208" s="783"/>
      <c r="H208" s="802"/>
      <c r="I208" s="802"/>
      <c r="J208" s="802"/>
      <c r="K208" s="802"/>
      <c r="L208" s="802"/>
      <c r="M208" s="802"/>
      <c r="N208" s="802"/>
      <c r="O208" s="802"/>
      <c r="P208" s="802"/>
      <c r="Q208" s="764"/>
      <c r="R208" s="765"/>
      <c r="S208" s="765"/>
      <c r="T208" s="765"/>
      <c r="U208" s="765"/>
      <c r="V208" s="765"/>
      <c r="W208" s="766"/>
      <c r="X208" s="363"/>
      <c r="AH208" s="363"/>
    </row>
    <row r="209" spans="1:34" ht="5.25" customHeight="1">
      <c r="A209" s="791"/>
      <c r="B209" s="781"/>
      <c r="C209" s="782"/>
      <c r="D209" s="782"/>
      <c r="E209" s="782"/>
      <c r="F209" s="782"/>
      <c r="G209" s="783"/>
      <c r="H209" s="802"/>
      <c r="I209" s="802"/>
      <c r="J209" s="802"/>
      <c r="K209" s="802"/>
      <c r="L209" s="802"/>
      <c r="M209" s="802"/>
      <c r="N209" s="802"/>
      <c r="O209" s="802"/>
      <c r="P209" s="802"/>
      <c r="Q209" s="767"/>
      <c r="R209" s="768"/>
      <c r="S209" s="768"/>
      <c r="T209" s="768"/>
      <c r="U209" s="768"/>
      <c r="V209" s="768"/>
      <c r="W209" s="769"/>
      <c r="X209" s="363"/>
      <c r="Y209" s="12"/>
      <c r="Z209" s="232"/>
      <c r="AH209" s="363"/>
    </row>
    <row r="210" spans="1:34" ht="12.75">
      <c r="A210" s="791"/>
      <c r="B210" s="781"/>
      <c r="C210" s="782"/>
      <c r="D210" s="782"/>
      <c r="E210" s="782"/>
      <c r="F210" s="782"/>
      <c r="G210" s="783"/>
      <c r="H210" s="770">
        <f>IF(Y211=0,IF(FIO="","",0),"")</f>
      </c>
      <c r="I210" s="770"/>
      <c r="J210" s="770"/>
      <c r="K210" s="770"/>
      <c r="L210" s="771"/>
      <c r="M210" s="771"/>
      <c r="N210" s="771"/>
      <c r="O210" s="771"/>
      <c r="P210" s="771"/>
      <c r="Q210" s="772"/>
      <c r="R210" s="773"/>
      <c r="S210" s="773"/>
      <c r="T210" s="773"/>
      <c r="U210" s="773"/>
      <c r="V210" s="773"/>
      <c r="W210" s="774"/>
      <c r="X210" s="363"/>
      <c r="Z210" s="240" t="s">
        <v>208</v>
      </c>
      <c r="AH210" s="363"/>
    </row>
    <row r="211" spans="1:34" ht="12.75">
      <c r="A211" s="792"/>
      <c r="B211" s="784"/>
      <c r="C211" s="785"/>
      <c r="D211" s="785"/>
      <c r="E211" s="785"/>
      <c r="F211" s="785"/>
      <c r="G211" s="786"/>
      <c r="H211" s="770"/>
      <c r="I211" s="770"/>
      <c r="J211" s="770"/>
      <c r="K211" s="770"/>
      <c r="L211" s="771"/>
      <c r="M211" s="771"/>
      <c r="N211" s="771"/>
      <c r="O211" s="771"/>
      <c r="P211" s="771"/>
      <c r="Q211" s="775"/>
      <c r="R211" s="776"/>
      <c r="S211" s="776"/>
      <c r="T211" s="776"/>
      <c r="U211" s="776"/>
      <c r="V211" s="776"/>
      <c r="W211" s="777"/>
      <c r="X211" s="363"/>
      <c r="Y211" s="256">
        <f>MAX(L210:W211)</f>
        <v>0</v>
      </c>
      <c r="Z211" s="242">
        <v>30</v>
      </c>
      <c r="AH211" s="363"/>
    </row>
    <row r="212" spans="1:34" ht="12.75">
      <c r="A212" s="790" t="s">
        <v>714</v>
      </c>
      <c r="B212" s="778" t="s">
        <v>718</v>
      </c>
      <c r="C212" s="779"/>
      <c r="D212" s="779"/>
      <c r="E212" s="779"/>
      <c r="F212" s="779"/>
      <c r="G212" s="780"/>
      <c r="H212" s="802" t="s">
        <v>698</v>
      </c>
      <c r="I212" s="802"/>
      <c r="J212" s="802"/>
      <c r="K212" s="802"/>
      <c r="L212" s="802" t="s">
        <v>699</v>
      </c>
      <c r="M212" s="802"/>
      <c r="N212" s="802"/>
      <c r="O212" s="802"/>
      <c r="P212" s="802"/>
      <c r="Q212" s="761" t="s">
        <v>700</v>
      </c>
      <c r="R212" s="762"/>
      <c r="S212" s="762"/>
      <c r="T212" s="762"/>
      <c r="U212" s="762"/>
      <c r="V212" s="762"/>
      <c r="W212" s="763"/>
      <c r="X212" s="363"/>
      <c r="AH212" s="363"/>
    </row>
    <row r="213" spans="1:34" ht="12.75">
      <c r="A213" s="791"/>
      <c r="B213" s="781"/>
      <c r="C213" s="782"/>
      <c r="D213" s="782"/>
      <c r="E213" s="782"/>
      <c r="F213" s="782"/>
      <c r="G213" s="783"/>
      <c r="H213" s="802"/>
      <c r="I213" s="802"/>
      <c r="J213" s="802"/>
      <c r="K213" s="802"/>
      <c r="L213" s="802"/>
      <c r="M213" s="802"/>
      <c r="N213" s="802"/>
      <c r="O213" s="802"/>
      <c r="P213" s="802"/>
      <c r="Q213" s="764"/>
      <c r="R213" s="765"/>
      <c r="S213" s="765"/>
      <c r="T213" s="765"/>
      <c r="U213" s="765"/>
      <c r="V213" s="765"/>
      <c r="W213" s="766"/>
      <c r="X213" s="363"/>
      <c r="AH213" s="363"/>
    </row>
    <row r="214" spans="1:34" ht="12.75">
      <c r="A214" s="791"/>
      <c r="B214" s="781"/>
      <c r="C214" s="782"/>
      <c r="D214" s="782"/>
      <c r="E214" s="782"/>
      <c r="F214" s="782"/>
      <c r="G214" s="783"/>
      <c r="H214" s="802"/>
      <c r="I214" s="802"/>
      <c r="J214" s="802"/>
      <c r="K214" s="802"/>
      <c r="L214" s="802"/>
      <c r="M214" s="802"/>
      <c r="N214" s="802"/>
      <c r="O214" s="802"/>
      <c r="P214" s="802"/>
      <c r="Q214" s="764"/>
      <c r="R214" s="765"/>
      <c r="S214" s="765"/>
      <c r="T214" s="765"/>
      <c r="U214" s="765"/>
      <c r="V214" s="765"/>
      <c r="W214" s="766"/>
      <c r="X214" s="363"/>
      <c r="AH214" s="363"/>
    </row>
    <row r="215" spans="1:34" ht="3.75" customHeight="1">
      <c r="A215" s="791"/>
      <c r="B215" s="781"/>
      <c r="C215" s="782"/>
      <c r="D215" s="782"/>
      <c r="E215" s="782"/>
      <c r="F215" s="782"/>
      <c r="G215" s="783"/>
      <c r="H215" s="802"/>
      <c r="I215" s="802"/>
      <c r="J215" s="802"/>
      <c r="K215" s="802"/>
      <c r="L215" s="802"/>
      <c r="M215" s="802"/>
      <c r="N215" s="802"/>
      <c r="O215" s="802"/>
      <c r="P215" s="802"/>
      <c r="Q215" s="767"/>
      <c r="R215" s="768"/>
      <c r="S215" s="768"/>
      <c r="T215" s="768"/>
      <c r="U215" s="768"/>
      <c r="V215" s="768"/>
      <c r="W215" s="769"/>
      <c r="X215" s="363"/>
      <c r="Y215" s="12"/>
      <c r="Z215" s="232"/>
      <c r="AH215" s="363"/>
    </row>
    <row r="216" spans="1:34" ht="12.75">
      <c r="A216" s="791"/>
      <c r="B216" s="781"/>
      <c r="C216" s="782"/>
      <c r="D216" s="782"/>
      <c r="E216" s="782"/>
      <c r="F216" s="782"/>
      <c r="G216" s="783"/>
      <c r="H216" s="770">
        <f>IF(Y217=0,IF(FIO="","",0),"")</f>
      </c>
      <c r="I216" s="770"/>
      <c r="J216" s="770"/>
      <c r="K216" s="770"/>
      <c r="L216" s="771"/>
      <c r="M216" s="771"/>
      <c r="N216" s="771"/>
      <c r="O216" s="771"/>
      <c r="P216" s="771"/>
      <c r="Q216" s="772"/>
      <c r="R216" s="773"/>
      <c r="S216" s="773"/>
      <c r="T216" s="773"/>
      <c r="U216" s="773"/>
      <c r="V216" s="773"/>
      <c r="W216" s="774"/>
      <c r="X216" s="363"/>
      <c r="Z216" s="240" t="s">
        <v>208</v>
      </c>
      <c r="AH216" s="363"/>
    </row>
    <row r="217" spans="1:34" ht="12.75">
      <c r="A217" s="792"/>
      <c r="B217" s="784"/>
      <c r="C217" s="785"/>
      <c r="D217" s="785"/>
      <c r="E217" s="785"/>
      <c r="F217" s="785"/>
      <c r="G217" s="786"/>
      <c r="H217" s="770"/>
      <c r="I217" s="770"/>
      <c r="J217" s="770"/>
      <c r="K217" s="770"/>
      <c r="L217" s="771"/>
      <c r="M217" s="771"/>
      <c r="N217" s="771"/>
      <c r="O217" s="771"/>
      <c r="P217" s="771"/>
      <c r="Q217" s="775"/>
      <c r="R217" s="776"/>
      <c r="S217" s="776"/>
      <c r="T217" s="776"/>
      <c r="U217" s="776"/>
      <c r="V217" s="776"/>
      <c r="W217" s="777"/>
      <c r="X217" s="363"/>
      <c r="Y217" s="256">
        <f>MAX(L216:W217)</f>
        <v>0</v>
      </c>
      <c r="Z217" s="242">
        <v>30</v>
      </c>
      <c r="AH217" s="363"/>
    </row>
    <row r="218" spans="1:34" ht="14.25">
      <c r="A218" s="1131" t="s">
        <v>203</v>
      </c>
      <c r="B218" s="824" t="s">
        <v>204</v>
      </c>
      <c r="C218" s="825"/>
      <c r="D218" s="825"/>
      <c r="E218" s="826"/>
      <c r="F218" s="787" t="s">
        <v>205</v>
      </c>
      <c r="G218" s="788"/>
      <c r="H218" s="788"/>
      <c r="I218" s="788"/>
      <c r="J218" s="788"/>
      <c r="K218" s="788"/>
      <c r="L218" s="788"/>
      <c r="M218" s="788"/>
      <c r="N218" s="788"/>
      <c r="O218" s="788"/>
      <c r="P218" s="788"/>
      <c r="Q218" s="788"/>
      <c r="R218" s="788"/>
      <c r="S218" s="788"/>
      <c r="T218" s="788"/>
      <c r="U218" s="788"/>
      <c r="V218" s="788"/>
      <c r="W218" s="789"/>
      <c r="X218" s="429"/>
      <c r="AE218" s="177"/>
      <c r="AF218" s="162"/>
      <c r="AH218" s="363"/>
    </row>
    <row r="219" spans="1:34" ht="14.25" customHeight="1">
      <c r="A219" s="1132"/>
      <c r="B219" s="827"/>
      <c r="C219" s="828"/>
      <c r="D219" s="828"/>
      <c r="E219" s="829"/>
      <c r="F219" s="833" t="s">
        <v>210</v>
      </c>
      <c r="G219" s="834"/>
      <c r="H219" s="834"/>
      <c r="I219" s="834"/>
      <c r="J219" s="834"/>
      <c r="K219" s="834"/>
      <c r="L219" s="834"/>
      <c r="M219" s="834"/>
      <c r="N219" s="834"/>
      <c r="O219" s="834"/>
      <c r="P219" s="834"/>
      <c r="Q219" s="834"/>
      <c r="R219" s="834"/>
      <c r="S219" s="834"/>
      <c r="T219" s="834"/>
      <c r="U219" s="834"/>
      <c r="V219" s="834"/>
      <c r="W219" s="835"/>
      <c r="X219" s="429"/>
      <c r="AE219" s="177"/>
      <c r="AF219" s="162"/>
      <c r="AH219" s="363"/>
    </row>
    <row r="220" spans="1:34" ht="14.25" customHeight="1">
      <c r="A220" s="1133"/>
      <c r="B220" s="830"/>
      <c r="C220" s="831"/>
      <c r="D220" s="831"/>
      <c r="E220" s="832"/>
      <c r="F220" s="821">
        <v>0</v>
      </c>
      <c r="G220" s="823"/>
      <c r="H220" s="821">
        <v>10</v>
      </c>
      <c r="I220" s="822"/>
      <c r="J220" s="823"/>
      <c r="K220" s="969" t="s">
        <v>270</v>
      </c>
      <c r="L220" s="970"/>
      <c r="M220" s="971"/>
      <c r="N220" s="969" t="s">
        <v>212</v>
      </c>
      <c r="O220" s="970"/>
      <c r="P220" s="971"/>
      <c r="Q220" s="969" t="s">
        <v>271</v>
      </c>
      <c r="R220" s="970"/>
      <c r="S220" s="971"/>
      <c r="T220" s="821" t="s">
        <v>271</v>
      </c>
      <c r="U220" s="822"/>
      <c r="V220" s="822"/>
      <c r="W220" s="823"/>
      <c r="X220" s="429"/>
      <c r="AE220" s="177"/>
      <c r="AF220" s="162"/>
      <c r="AH220" s="363"/>
    </row>
    <row r="221" spans="1:34" ht="12.75">
      <c r="A221" s="790" t="s">
        <v>697</v>
      </c>
      <c r="B221" s="778" t="s">
        <v>696</v>
      </c>
      <c r="C221" s="779"/>
      <c r="D221" s="779"/>
      <c r="E221" s="780"/>
      <c r="F221" s="761" t="s">
        <v>291</v>
      </c>
      <c r="G221" s="763"/>
      <c r="H221" s="761" t="s">
        <v>423</v>
      </c>
      <c r="I221" s="762"/>
      <c r="J221" s="763"/>
      <c r="K221" s="761" t="s">
        <v>419</v>
      </c>
      <c r="L221" s="762"/>
      <c r="M221" s="763"/>
      <c r="N221" s="761" t="s">
        <v>426</v>
      </c>
      <c r="O221" s="762"/>
      <c r="P221" s="763"/>
      <c r="Q221" s="761" t="s">
        <v>425</v>
      </c>
      <c r="R221" s="762"/>
      <c r="S221" s="763"/>
      <c r="T221" s="761" t="s">
        <v>424</v>
      </c>
      <c r="U221" s="762"/>
      <c r="V221" s="762"/>
      <c r="W221" s="763"/>
      <c r="X221" s="429"/>
      <c r="AE221" s="177"/>
      <c r="AF221" s="162"/>
      <c r="AH221" s="363"/>
    </row>
    <row r="222" spans="1:34" ht="12.75">
      <c r="A222" s="791"/>
      <c r="B222" s="781"/>
      <c r="C222" s="782"/>
      <c r="D222" s="782"/>
      <c r="E222" s="783"/>
      <c r="F222" s="764"/>
      <c r="G222" s="766"/>
      <c r="H222" s="764"/>
      <c r="I222" s="765"/>
      <c r="J222" s="766"/>
      <c r="K222" s="764"/>
      <c r="L222" s="765"/>
      <c r="M222" s="766"/>
      <c r="N222" s="764"/>
      <c r="O222" s="765"/>
      <c r="P222" s="766"/>
      <c r="Q222" s="764"/>
      <c r="R222" s="765"/>
      <c r="S222" s="766"/>
      <c r="T222" s="764"/>
      <c r="U222" s="765"/>
      <c r="V222" s="765"/>
      <c r="W222" s="766"/>
      <c r="X222" s="429"/>
      <c r="AE222" s="177"/>
      <c r="AF222" s="162"/>
      <c r="AH222" s="363"/>
    </row>
    <row r="223" spans="1:34" ht="12.75">
      <c r="A223" s="791"/>
      <c r="B223" s="781"/>
      <c r="C223" s="782"/>
      <c r="D223" s="782"/>
      <c r="E223" s="783"/>
      <c r="F223" s="764"/>
      <c r="G223" s="766"/>
      <c r="H223" s="764"/>
      <c r="I223" s="765"/>
      <c r="J223" s="766"/>
      <c r="K223" s="764"/>
      <c r="L223" s="765"/>
      <c r="M223" s="766"/>
      <c r="N223" s="764"/>
      <c r="O223" s="765"/>
      <c r="P223" s="766"/>
      <c r="Q223" s="764"/>
      <c r="R223" s="765"/>
      <c r="S223" s="766"/>
      <c r="T223" s="764"/>
      <c r="U223" s="765"/>
      <c r="V223" s="765"/>
      <c r="W223" s="766"/>
      <c r="X223" s="429"/>
      <c r="AE223" s="177"/>
      <c r="AF223" s="162"/>
      <c r="AH223" s="363"/>
    </row>
    <row r="224" spans="1:34" ht="12.75">
      <c r="A224" s="791"/>
      <c r="B224" s="781"/>
      <c r="C224" s="782"/>
      <c r="D224" s="782"/>
      <c r="E224" s="783"/>
      <c r="F224" s="764"/>
      <c r="G224" s="766"/>
      <c r="H224" s="935" t="s">
        <v>479</v>
      </c>
      <c r="I224" s="936"/>
      <c r="J224" s="937"/>
      <c r="K224" s="935" t="s">
        <v>418</v>
      </c>
      <c r="L224" s="936"/>
      <c r="M224" s="937"/>
      <c r="N224" s="935" t="s">
        <v>289</v>
      </c>
      <c r="O224" s="936"/>
      <c r="P224" s="937"/>
      <c r="Q224" s="935" t="s">
        <v>290</v>
      </c>
      <c r="R224" s="936"/>
      <c r="S224" s="937"/>
      <c r="T224" s="935" t="s">
        <v>480</v>
      </c>
      <c r="U224" s="936"/>
      <c r="V224" s="936"/>
      <c r="W224" s="937"/>
      <c r="X224" s="429"/>
      <c r="AB224" s="263"/>
      <c r="AE224" s="277"/>
      <c r="AF224" s="278"/>
      <c r="AH224" s="363"/>
    </row>
    <row r="225" spans="1:34" ht="12.75">
      <c r="A225" s="791"/>
      <c r="B225" s="781"/>
      <c r="C225" s="782"/>
      <c r="D225" s="782"/>
      <c r="E225" s="783"/>
      <c r="F225" s="764"/>
      <c r="G225" s="766"/>
      <c r="H225" s="935"/>
      <c r="I225" s="936"/>
      <c r="J225" s="937"/>
      <c r="K225" s="935"/>
      <c r="L225" s="936"/>
      <c r="M225" s="937"/>
      <c r="N225" s="935"/>
      <c r="O225" s="936"/>
      <c r="P225" s="937"/>
      <c r="Q225" s="935"/>
      <c r="R225" s="936"/>
      <c r="S225" s="937"/>
      <c r="T225" s="935"/>
      <c r="U225" s="936"/>
      <c r="V225" s="936"/>
      <c r="W225" s="937"/>
      <c r="X225" s="429"/>
      <c r="Z225" s="264"/>
      <c r="AE225" s="177"/>
      <c r="AF225" s="162"/>
      <c r="AH225" s="363"/>
    </row>
    <row r="226" spans="1:34" ht="12.75">
      <c r="A226" s="791"/>
      <c r="B226" s="781"/>
      <c r="C226" s="782"/>
      <c r="D226" s="782"/>
      <c r="E226" s="783"/>
      <c r="F226" s="764"/>
      <c r="G226" s="766"/>
      <c r="H226" s="935"/>
      <c r="I226" s="936"/>
      <c r="J226" s="937"/>
      <c r="K226" s="935"/>
      <c r="L226" s="936"/>
      <c r="M226" s="937"/>
      <c r="N226" s="935"/>
      <c r="O226" s="936"/>
      <c r="P226" s="937"/>
      <c r="Q226" s="935"/>
      <c r="R226" s="936"/>
      <c r="S226" s="937"/>
      <c r="T226" s="935"/>
      <c r="U226" s="936"/>
      <c r="V226" s="936"/>
      <c r="W226" s="937"/>
      <c r="X226" s="429"/>
      <c r="Z226" s="264"/>
      <c r="AE226" s="177"/>
      <c r="AF226" s="162"/>
      <c r="AH226" s="363"/>
    </row>
    <row r="227" spans="1:34" ht="12.75">
      <c r="A227" s="791"/>
      <c r="B227" s="924" t="s">
        <v>288</v>
      </c>
      <c r="C227" s="925"/>
      <c r="D227" s="925"/>
      <c r="E227" s="926"/>
      <c r="F227" s="764"/>
      <c r="G227" s="766"/>
      <c r="H227" s="935"/>
      <c r="I227" s="936"/>
      <c r="J227" s="937"/>
      <c r="K227" s="935"/>
      <c r="L227" s="936"/>
      <c r="M227" s="937"/>
      <c r="N227" s="935"/>
      <c r="O227" s="936"/>
      <c r="P227" s="937"/>
      <c r="Q227" s="935"/>
      <c r="R227" s="936"/>
      <c r="S227" s="937"/>
      <c r="T227" s="935"/>
      <c r="U227" s="936"/>
      <c r="V227" s="936"/>
      <c r="W227" s="937"/>
      <c r="X227" s="429"/>
      <c r="Z227" s="264"/>
      <c r="AE227" s="177"/>
      <c r="AF227" s="162"/>
      <c r="AH227" s="363"/>
    </row>
    <row r="228" spans="1:34" ht="42.75" customHeight="1">
      <c r="A228" s="791"/>
      <c r="B228" s="1135" t="s">
        <v>531</v>
      </c>
      <c r="C228" s="1136"/>
      <c r="D228" s="1136"/>
      <c r="E228" s="1137"/>
      <c r="F228" s="764"/>
      <c r="G228" s="766"/>
      <c r="H228" s="815"/>
      <c r="I228" s="816"/>
      <c r="J228" s="817"/>
      <c r="K228" s="815" t="s">
        <v>215</v>
      </c>
      <c r="L228" s="816"/>
      <c r="M228" s="817"/>
      <c r="N228" s="815" t="s">
        <v>215</v>
      </c>
      <c r="O228" s="816"/>
      <c r="P228" s="817"/>
      <c r="Q228" s="815" t="s">
        <v>215</v>
      </c>
      <c r="R228" s="816"/>
      <c r="S228" s="817"/>
      <c r="T228" s="815" t="s">
        <v>417</v>
      </c>
      <c r="U228" s="816"/>
      <c r="V228" s="816"/>
      <c r="W228" s="817"/>
      <c r="X228" s="429"/>
      <c r="Z228" s="264"/>
      <c r="AE228" s="177"/>
      <c r="AF228" s="162"/>
      <c r="AH228" s="363"/>
    </row>
    <row r="229" spans="1:34" ht="27.75" customHeight="1">
      <c r="A229" s="791"/>
      <c r="B229" s="1135"/>
      <c r="C229" s="1136"/>
      <c r="D229" s="1136"/>
      <c r="E229" s="1137"/>
      <c r="F229" s="764"/>
      <c r="G229" s="766"/>
      <c r="H229" s="815"/>
      <c r="I229" s="816"/>
      <c r="J229" s="817"/>
      <c r="K229" s="815"/>
      <c r="L229" s="816"/>
      <c r="M229" s="817"/>
      <c r="N229" s="815"/>
      <c r="O229" s="816"/>
      <c r="P229" s="817"/>
      <c r="Q229" s="815"/>
      <c r="R229" s="816"/>
      <c r="S229" s="817"/>
      <c r="T229" s="815"/>
      <c r="U229" s="816"/>
      <c r="V229" s="816"/>
      <c r="W229" s="817"/>
      <c r="X229" s="429"/>
      <c r="Z229" s="264"/>
      <c r="AE229" s="177"/>
      <c r="AF229" s="162"/>
      <c r="AH229" s="363"/>
    </row>
    <row r="230" spans="1:34" ht="12.75" customHeight="1">
      <c r="A230" s="791"/>
      <c r="B230" s="1135"/>
      <c r="C230" s="1136"/>
      <c r="D230" s="1136"/>
      <c r="E230" s="1137"/>
      <c r="F230" s="767"/>
      <c r="G230" s="769"/>
      <c r="H230" s="818"/>
      <c r="I230" s="819"/>
      <c r="J230" s="820"/>
      <c r="K230" s="818"/>
      <c r="L230" s="819"/>
      <c r="M230" s="820"/>
      <c r="N230" s="818"/>
      <c r="O230" s="819"/>
      <c r="P230" s="820"/>
      <c r="Q230" s="818"/>
      <c r="R230" s="819"/>
      <c r="S230" s="820"/>
      <c r="T230" s="818"/>
      <c r="U230" s="819"/>
      <c r="V230" s="819"/>
      <c r="W230" s="820"/>
      <c r="X230" s="429"/>
      <c r="AE230" s="177"/>
      <c r="AF230" s="162"/>
      <c r="AH230" s="363"/>
    </row>
    <row r="231" spans="1:34" ht="12.75" customHeight="1">
      <c r="A231" s="791"/>
      <c r="B231" s="1135"/>
      <c r="C231" s="1136"/>
      <c r="D231" s="1136"/>
      <c r="E231" s="1137"/>
      <c r="F231" s="770">
        <f>IF(Y232=0,IF(FIO="","",0),"")</f>
      </c>
      <c r="G231" s="770"/>
      <c r="H231" s="771"/>
      <c r="I231" s="771"/>
      <c r="J231" s="771"/>
      <c r="K231" s="771"/>
      <c r="L231" s="771"/>
      <c r="M231" s="771"/>
      <c r="N231" s="771"/>
      <c r="O231" s="771"/>
      <c r="P231" s="771"/>
      <c r="Q231" s="771"/>
      <c r="R231" s="771"/>
      <c r="S231" s="771"/>
      <c r="T231" s="771"/>
      <c r="U231" s="771"/>
      <c r="V231" s="771"/>
      <c r="W231" s="771"/>
      <c r="X231" s="429"/>
      <c r="Z231" s="240" t="s">
        <v>208</v>
      </c>
      <c r="AA231" s="241" t="s">
        <v>283</v>
      </c>
      <c r="AE231" s="279" t="s">
        <v>3</v>
      </c>
      <c r="AF231" s="280" t="s">
        <v>2</v>
      </c>
      <c r="AH231" s="363"/>
    </row>
    <row r="232" spans="1:34" ht="12.75" customHeight="1">
      <c r="A232" s="792"/>
      <c r="B232" s="1138"/>
      <c r="C232" s="1139"/>
      <c r="D232" s="1139"/>
      <c r="E232" s="1140"/>
      <c r="F232" s="770"/>
      <c r="G232" s="770"/>
      <c r="H232" s="771"/>
      <c r="I232" s="771"/>
      <c r="J232" s="771"/>
      <c r="K232" s="771"/>
      <c r="L232" s="771"/>
      <c r="M232" s="771"/>
      <c r="N232" s="771"/>
      <c r="O232" s="771"/>
      <c r="P232" s="771"/>
      <c r="Q232" s="771"/>
      <c r="R232" s="771"/>
      <c r="S232" s="771"/>
      <c r="T232" s="771"/>
      <c r="U232" s="771"/>
      <c r="V232" s="771"/>
      <c r="W232" s="771"/>
      <c r="X232" s="429"/>
      <c r="Y232" s="256">
        <f>SUM(H231:W232)</f>
        <v>0</v>
      </c>
      <c r="Z232" s="242">
        <v>130</v>
      </c>
      <c r="AA232" s="259">
        <f>IF(z_kateg="высшая",AE232,AF232)</f>
        <v>20</v>
      </c>
      <c r="AE232" s="275">
        <v>30</v>
      </c>
      <c r="AF232" s="276">
        <v>20</v>
      </c>
      <c r="AH232" s="363"/>
    </row>
    <row r="233" spans="1:34" ht="14.25">
      <c r="A233" s="803" t="s">
        <v>203</v>
      </c>
      <c r="B233" s="824" t="s">
        <v>204</v>
      </c>
      <c r="C233" s="825"/>
      <c r="D233" s="825"/>
      <c r="E233" s="825"/>
      <c r="F233" s="825"/>
      <c r="G233" s="825"/>
      <c r="H233" s="825"/>
      <c r="I233" s="825"/>
      <c r="J233" s="826"/>
      <c r="K233" s="787" t="s">
        <v>205</v>
      </c>
      <c r="L233" s="788"/>
      <c r="M233" s="788"/>
      <c r="N233" s="788"/>
      <c r="O233" s="788"/>
      <c r="P233" s="788"/>
      <c r="Q233" s="788"/>
      <c r="R233" s="788"/>
      <c r="S233" s="788"/>
      <c r="T233" s="788"/>
      <c r="U233" s="788"/>
      <c r="V233" s="788"/>
      <c r="W233" s="789"/>
      <c r="X233" s="363"/>
      <c r="AH233" s="363"/>
    </row>
    <row r="234" spans="1:34" ht="12.75">
      <c r="A234" s="804"/>
      <c r="B234" s="827"/>
      <c r="C234" s="828"/>
      <c r="D234" s="828"/>
      <c r="E234" s="828"/>
      <c r="F234" s="828"/>
      <c r="G234" s="828"/>
      <c r="H234" s="828"/>
      <c r="I234" s="828"/>
      <c r="J234" s="829"/>
      <c r="K234" s="833" t="s">
        <v>206</v>
      </c>
      <c r="L234" s="834"/>
      <c r="M234" s="834"/>
      <c r="N234" s="834"/>
      <c r="O234" s="834"/>
      <c r="P234" s="834"/>
      <c r="Q234" s="834"/>
      <c r="R234" s="834"/>
      <c r="S234" s="834"/>
      <c r="T234" s="834"/>
      <c r="U234" s="834"/>
      <c r="V234" s="834"/>
      <c r="W234" s="835"/>
      <c r="X234" s="363"/>
      <c r="AH234" s="363"/>
    </row>
    <row r="235" spans="1:34" ht="12.75">
      <c r="A235" s="805"/>
      <c r="B235" s="830"/>
      <c r="C235" s="831"/>
      <c r="D235" s="831"/>
      <c r="E235" s="831"/>
      <c r="F235" s="831"/>
      <c r="G235" s="831"/>
      <c r="H235" s="831"/>
      <c r="I235" s="831"/>
      <c r="J235" s="832"/>
      <c r="K235" s="821">
        <v>0</v>
      </c>
      <c r="L235" s="822"/>
      <c r="M235" s="822"/>
      <c r="N235" s="823"/>
      <c r="O235" s="821" t="s">
        <v>270</v>
      </c>
      <c r="P235" s="822"/>
      <c r="Q235" s="822"/>
      <c r="R235" s="822"/>
      <c r="S235" s="823"/>
      <c r="T235" s="821">
        <v>30</v>
      </c>
      <c r="U235" s="822"/>
      <c r="V235" s="822"/>
      <c r="W235" s="823"/>
      <c r="X235" s="363"/>
      <c r="AH235" s="363"/>
    </row>
    <row r="236" spans="1:34" ht="12.75">
      <c r="A236" s="790" t="s">
        <v>707</v>
      </c>
      <c r="B236" s="778" t="s">
        <v>704</v>
      </c>
      <c r="C236" s="779"/>
      <c r="D236" s="779"/>
      <c r="E236" s="779"/>
      <c r="F236" s="779"/>
      <c r="G236" s="779"/>
      <c r="H236" s="779"/>
      <c r="I236" s="779"/>
      <c r="J236" s="780"/>
      <c r="K236" s="802" t="s">
        <v>698</v>
      </c>
      <c r="L236" s="802"/>
      <c r="M236" s="802"/>
      <c r="N236" s="802"/>
      <c r="O236" s="802" t="s">
        <v>699</v>
      </c>
      <c r="P236" s="802"/>
      <c r="Q236" s="802"/>
      <c r="R236" s="802"/>
      <c r="S236" s="802"/>
      <c r="T236" s="761" t="s">
        <v>700</v>
      </c>
      <c r="U236" s="762"/>
      <c r="V236" s="762"/>
      <c r="W236" s="763"/>
      <c r="X236" s="363"/>
      <c r="AH236" s="363"/>
    </row>
    <row r="237" spans="1:34" ht="12.75">
      <c r="A237" s="791"/>
      <c r="B237" s="781"/>
      <c r="C237" s="782"/>
      <c r="D237" s="782"/>
      <c r="E237" s="782"/>
      <c r="F237" s="782"/>
      <c r="G237" s="782"/>
      <c r="H237" s="782"/>
      <c r="I237" s="782"/>
      <c r="J237" s="783"/>
      <c r="K237" s="802"/>
      <c r="L237" s="802"/>
      <c r="M237" s="802"/>
      <c r="N237" s="802"/>
      <c r="O237" s="802"/>
      <c r="P237" s="802"/>
      <c r="Q237" s="802"/>
      <c r="R237" s="802"/>
      <c r="S237" s="802"/>
      <c r="T237" s="764"/>
      <c r="U237" s="765"/>
      <c r="V237" s="765"/>
      <c r="W237" s="766"/>
      <c r="X237" s="363"/>
      <c r="AH237" s="363"/>
    </row>
    <row r="238" spans="1:34" ht="12.75">
      <c r="A238" s="791"/>
      <c r="B238" s="781"/>
      <c r="C238" s="782"/>
      <c r="D238" s="782"/>
      <c r="E238" s="782"/>
      <c r="F238" s="782"/>
      <c r="G238" s="782"/>
      <c r="H238" s="782"/>
      <c r="I238" s="782"/>
      <c r="J238" s="783"/>
      <c r="K238" s="802"/>
      <c r="L238" s="802"/>
      <c r="M238" s="802"/>
      <c r="N238" s="802"/>
      <c r="O238" s="802"/>
      <c r="P238" s="802"/>
      <c r="Q238" s="802"/>
      <c r="R238" s="802"/>
      <c r="S238" s="802"/>
      <c r="T238" s="764"/>
      <c r="U238" s="765"/>
      <c r="V238" s="765"/>
      <c r="W238" s="766"/>
      <c r="X238" s="363"/>
      <c r="AH238" s="363"/>
    </row>
    <row r="239" spans="1:34" ht="2.25" customHeight="1">
      <c r="A239" s="791"/>
      <c r="B239" s="781"/>
      <c r="C239" s="782"/>
      <c r="D239" s="782"/>
      <c r="E239" s="782"/>
      <c r="F239" s="782"/>
      <c r="G239" s="782"/>
      <c r="H239" s="782"/>
      <c r="I239" s="782"/>
      <c r="J239" s="783"/>
      <c r="K239" s="802"/>
      <c r="L239" s="802"/>
      <c r="M239" s="802"/>
      <c r="N239" s="802"/>
      <c r="O239" s="802"/>
      <c r="P239" s="802"/>
      <c r="Q239" s="802"/>
      <c r="R239" s="802"/>
      <c r="S239" s="802"/>
      <c r="T239" s="767"/>
      <c r="U239" s="768"/>
      <c r="V239" s="768"/>
      <c r="W239" s="769"/>
      <c r="X239" s="363"/>
      <c r="Y239" s="12"/>
      <c r="Z239" s="232"/>
      <c r="AH239" s="363"/>
    </row>
    <row r="240" spans="1:34" ht="12.75">
      <c r="A240" s="791"/>
      <c r="B240" s="781"/>
      <c r="C240" s="782"/>
      <c r="D240" s="782"/>
      <c r="E240" s="782"/>
      <c r="F240" s="782"/>
      <c r="G240" s="782"/>
      <c r="H240" s="782"/>
      <c r="I240" s="782"/>
      <c r="J240" s="783"/>
      <c r="K240" s="770">
        <f>IF(Y241=0,IF(FIO="","",0),"")</f>
      </c>
      <c r="L240" s="770"/>
      <c r="M240" s="770"/>
      <c r="N240" s="770"/>
      <c r="O240" s="771"/>
      <c r="P240" s="771"/>
      <c r="Q240" s="771"/>
      <c r="R240" s="771"/>
      <c r="S240" s="771"/>
      <c r="T240" s="772"/>
      <c r="U240" s="773"/>
      <c r="V240" s="773"/>
      <c r="W240" s="774"/>
      <c r="X240" s="363"/>
      <c r="Z240" s="240" t="s">
        <v>208</v>
      </c>
      <c r="AH240" s="363"/>
    </row>
    <row r="241" spans="1:34" ht="12.75">
      <c r="A241" s="792"/>
      <c r="B241" s="784"/>
      <c r="C241" s="785"/>
      <c r="D241" s="785"/>
      <c r="E241" s="785"/>
      <c r="F241" s="785"/>
      <c r="G241" s="785"/>
      <c r="H241" s="785"/>
      <c r="I241" s="785"/>
      <c r="J241" s="786"/>
      <c r="K241" s="770"/>
      <c r="L241" s="770"/>
      <c r="M241" s="770"/>
      <c r="N241" s="770"/>
      <c r="O241" s="771"/>
      <c r="P241" s="771"/>
      <c r="Q241" s="771"/>
      <c r="R241" s="771"/>
      <c r="S241" s="771"/>
      <c r="T241" s="775"/>
      <c r="U241" s="776"/>
      <c r="V241" s="776"/>
      <c r="W241" s="777"/>
      <c r="X241" s="363"/>
      <c r="Y241" s="256">
        <f>MAX(O240:W241)</f>
        <v>0</v>
      </c>
      <c r="Z241" s="242">
        <v>30</v>
      </c>
      <c r="AH241" s="363"/>
    </row>
    <row r="242" spans="1:34" ht="15">
      <c r="A242" s="790" t="s">
        <v>708</v>
      </c>
      <c r="B242" s="778" t="s">
        <v>705</v>
      </c>
      <c r="C242" s="779"/>
      <c r="D242" s="779"/>
      <c r="E242" s="779"/>
      <c r="F242" s="779"/>
      <c r="G242" s="779"/>
      <c r="H242" s="779"/>
      <c r="I242" s="779"/>
      <c r="J242" s="780"/>
      <c r="K242" s="802" t="s">
        <v>701</v>
      </c>
      <c r="L242" s="802"/>
      <c r="M242" s="802"/>
      <c r="N242" s="802"/>
      <c r="O242" s="802" t="s">
        <v>702</v>
      </c>
      <c r="P242" s="802"/>
      <c r="Q242" s="802"/>
      <c r="R242" s="802"/>
      <c r="S242" s="802"/>
      <c r="T242" s="761" t="s">
        <v>703</v>
      </c>
      <c r="U242" s="762"/>
      <c r="V242" s="762"/>
      <c r="W242" s="763"/>
      <c r="X242" s="363"/>
      <c r="AH242" s="363"/>
    </row>
    <row r="243" spans="1:34" ht="22.5" customHeight="1">
      <c r="A243" s="791"/>
      <c r="B243" s="895" t="s">
        <v>710</v>
      </c>
      <c r="C243" s="896"/>
      <c r="D243" s="896"/>
      <c r="E243" s="896"/>
      <c r="F243" s="896"/>
      <c r="G243" s="896"/>
      <c r="H243" s="896"/>
      <c r="I243" s="896"/>
      <c r="J243" s="897"/>
      <c r="K243" s="802"/>
      <c r="L243" s="802"/>
      <c r="M243" s="802"/>
      <c r="N243" s="802"/>
      <c r="O243" s="802"/>
      <c r="P243" s="802"/>
      <c r="Q243" s="802"/>
      <c r="R243" s="802"/>
      <c r="S243" s="802"/>
      <c r="T243" s="764"/>
      <c r="U243" s="765"/>
      <c r="V243" s="765"/>
      <c r="W243" s="766"/>
      <c r="X243" s="363"/>
      <c r="AH243" s="363"/>
    </row>
    <row r="244" spans="1:34" ht="23.25" customHeight="1">
      <c r="A244" s="791"/>
      <c r="B244" s="895"/>
      <c r="C244" s="896"/>
      <c r="D244" s="896"/>
      <c r="E244" s="896"/>
      <c r="F244" s="896"/>
      <c r="G244" s="896"/>
      <c r="H244" s="896"/>
      <c r="I244" s="896"/>
      <c r="J244" s="897"/>
      <c r="K244" s="802"/>
      <c r="L244" s="802"/>
      <c r="M244" s="802"/>
      <c r="N244" s="802"/>
      <c r="O244" s="802"/>
      <c r="P244" s="802"/>
      <c r="Q244" s="802"/>
      <c r="R244" s="802"/>
      <c r="S244" s="802"/>
      <c r="T244" s="764"/>
      <c r="U244" s="765"/>
      <c r="V244" s="765"/>
      <c r="W244" s="766"/>
      <c r="X244" s="363"/>
      <c r="AH244" s="363"/>
    </row>
    <row r="245" spans="1:34" ht="27" customHeight="1">
      <c r="A245" s="791"/>
      <c r="B245" s="895"/>
      <c r="C245" s="896"/>
      <c r="D245" s="896"/>
      <c r="E245" s="896"/>
      <c r="F245" s="896"/>
      <c r="G245" s="896"/>
      <c r="H245" s="896"/>
      <c r="I245" s="896"/>
      <c r="J245" s="897"/>
      <c r="K245" s="802"/>
      <c r="L245" s="802"/>
      <c r="M245" s="802"/>
      <c r="N245" s="802"/>
      <c r="O245" s="802"/>
      <c r="P245" s="802"/>
      <c r="Q245" s="802"/>
      <c r="R245" s="802"/>
      <c r="S245" s="802"/>
      <c r="T245" s="767"/>
      <c r="U245" s="768"/>
      <c r="V245" s="768"/>
      <c r="W245" s="769"/>
      <c r="X245" s="363"/>
      <c r="Y245" s="12"/>
      <c r="Z245" s="232"/>
      <c r="AH245" s="363"/>
    </row>
    <row r="246" spans="1:34" ht="21.75" customHeight="1">
      <c r="A246" s="791"/>
      <c r="B246" s="895"/>
      <c r="C246" s="896"/>
      <c r="D246" s="896"/>
      <c r="E246" s="896"/>
      <c r="F246" s="896"/>
      <c r="G246" s="896"/>
      <c r="H246" s="896"/>
      <c r="I246" s="896"/>
      <c r="J246" s="897"/>
      <c r="K246" s="770">
        <f>IF(Y247=0,IF(FIO="","",0),"")</f>
      </c>
      <c r="L246" s="770"/>
      <c r="M246" s="770"/>
      <c r="N246" s="770"/>
      <c r="O246" s="771"/>
      <c r="P246" s="771"/>
      <c r="Q246" s="771"/>
      <c r="R246" s="771"/>
      <c r="S246" s="771"/>
      <c r="T246" s="772"/>
      <c r="U246" s="773"/>
      <c r="V246" s="773"/>
      <c r="W246" s="774"/>
      <c r="X246" s="363"/>
      <c r="Z246" s="240" t="s">
        <v>208</v>
      </c>
      <c r="AH246" s="363"/>
    </row>
    <row r="247" spans="1:34" ht="12.75">
      <c r="A247" s="792"/>
      <c r="B247" s="898"/>
      <c r="C247" s="899"/>
      <c r="D247" s="899"/>
      <c r="E247" s="899"/>
      <c r="F247" s="899"/>
      <c r="G247" s="899"/>
      <c r="H247" s="899"/>
      <c r="I247" s="899"/>
      <c r="J247" s="900"/>
      <c r="K247" s="770"/>
      <c r="L247" s="770"/>
      <c r="M247" s="770"/>
      <c r="N247" s="770"/>
      <c r="O247" s="771"/>
      <c r="P247" s="771"/>
      <c r="Q247" s="771"/>
      <c r="R247" s="771"/>
      <c r="S247" s="771"/>
      <c r="T247" s="775"/>
      <c r="U247" s="776"/>
      <c r="V247" s="776"/>
      <c r="W247" s="777"/>
      <c r="X247" s="363"/>
      <c r="Y247" s="256">
        <f>MAX(O246:W247)</f>
        <v>0</v>
      </c>
      <c r="Z247" s="242">
        <v>30</v>
      </c>
      <c r="AH247" s="363"/>
    </row>
    <row r="248" spans="1:34" ht="12.75">
      <c r="A248" s="790" t="s">
        <v>709</v>
      </c>
      <c r="B248" s="778" t="s">
        <v>706</v>
      </c>
      <c r="C248" s="779"/>
      <c r="D248" s="779"/>
      <c r="E248" s="779"/>
      <c r="F248" s="779"/>
      <c r="G248" s="779"/>
      <c r="H248" s="779"/>
      <c r="I248" s="779"/>
      <c r="J248" s="780"/>
      <c r="K248" s="802" t="s">
        <v>698</v>
      </c>
      <c r="L248" s="802"/>
      <c r="M248" s="802"/>
      <c r="N248" s="802"/>
      <c r="O248" s="802" t="s">
        <v>699</v>
      </c>
      <c r="P248" s="802"/>
      <c r="Q248" s="802"/>
      <c r="R248" s="802"/>
      <c r="S248" s="802"/>
      <c r="T248" s="761" t="s">
        <v>700</v>
      </c>
      <c r="U248" s="762"/>
      <c r="V248" s="762"/>
      <c r="W248" s="763"/>
      <c r="X248" s="363"/>
      <c r="AH248" s="363"/>
    </row>
    <row r="249" spans="1:34" ht="12.75">
      <c r="A249" s="791"/>
      <c r="B249" s="781"/>
      <c r="C249" s="782"/>
      <c r="D249" s="782"/>
      <c r="E249" s="782"/>
      <c r="F249" s="782"/>
      <c r="G249" s="782"/>
      <c r="H249" s="782"/>
      <c r="I249" s="782"/>
      <c r="J249" s="783"/>
      <c r="K249" s="802"/>
      <c r="L249" s="802"/>
      <c r="M249" s="802"/>
      <c r="N249" s="802"/>
      <c r="O249" s="802"/>
      <c r="P249" s="802"/>
      <c r="Q249" s="802"/>
      <c r="R249" s="802"/>
      <c r="S249" s="802"/>
      <c r="T249" s="764"/>
      <c r="U249" s="765"/>
      <c r="V249" s="765"/>
      <c r="W249" s="766"/>
      <c r="X249" s="363"/>
      <c r="AH249" s="363"/>
    </row>
    <row r="250" spans="1:34" ht="12.75">
      <c r="A250" s="791"/>
      <c r="B250" s="781"/>
      <c r="C250" s="782"/>
      <c r="D250" s="782"/>
      <c r="E250" s="782"/>
      <c r="F250" s="782"/>
      <c r="G250" s="782"/>
      <c r="H250" s="782"/>
      <c r="I250" s="782"/>
      <c r="J250" s="783"/>
      <c r="K250" s="802"/>
      <c r="L250" s="802"/>
      <c r="M250" s="802"/>
      <c r="N250" s="802"/>
      <c r="O250" s="802"/>
      <c r="P250" s="802"/>
      <c r="Q250" s="802"/>
      <c r="R250" s="802"/>
      <c r="S250" s="802"/>
      <c r="T250" s="764"/>
      <c r="U250" s="765"/>
      <c r="V250" s="765"/>
      <c r="W250" s="766"/>
      <c r="X250" s="363"/>
      <c r="AH250" s="363"/>
    </row>
    <row r="251" spans="1:34" ht="2.25" customHeight="1">
      <c r="A251" s="791"/>
      <c r="B251" s="781"/>
      <c r="C251" s="782"/>
      <c r="D251" s="782"/>
      <c r="E251" s="782"/>
      <c r="F251" s="782"/>
      <c r="G251" s="782"/>
      <c r="H251" s="782"/>
      <c r="I251" s="782"/>
      <c r="J251" s="783"/>
      <c r="K251" s="802"/>
      <c r="L251" s="802"/>
      <c r="M251" s="802"/>
      <c r="N251" s="802"/>
      <c r="O251" s="802"/>
      <c r="P251" s="802"/>
      <c r="Q251" s="802"/>
      <c r="R251" s="802"/>
      <c r="S251" s="802"/>
      <c r="T251" s="767"/>
      <c r="U251" s="768"/>
      <c r="V251" s="768"/>
      <c r="W251" s="769"/>
      <c r="X251" s="363"/>
      <c r="Y251" s="12"/>
      <c r="Z251" s="232"/>
      <c r="AH251" s="363"/>
    </row>
    <row r="252" spans="1:34" ht="12.75">
      <c r="A252" s="791"/>
      <c r="B252" s="781"/>
      <c r="C252" s="782"/>
      <c r="D252" s="782"/>
      <c r="E252" s="782"/>
      <c r="F252" s="782"/>
      <c r="G252" s="782"/>
      <c r="H252" s="782"/>
      <c r="I252" s="782"/>
      <c r="J252" s="783"/>
      <c r="K252" s="770">
        <f>IF(Y253=0,IF(FIO="","",0),"")</f>
      </c>
      <c r="L252" s="770"/>
      <c r="M252" s="770"/>
      <c r="N252" s="770"/>
      <c r="O252" s="771"/>
      <c r="P252" s="771"/>
      <c r="Q252" s="771"/>
      <c r="R252" s="771"/>
      <c r="S252" s="771"/>
      <c r="T252" s="772"/>
      <c r="U252" s="773"/>
      <c r="V252" s="773"/>
      <c r="W252" s="774"/>
      <c r="X252" s="363"/>
      <c r="Z252" s="240" t="s">
        <v>208</v>
      </c>
      <c r="AH252" s="363"/>
    </row>
    <row r="253" spans="1:34" ht="12.75">
      <c r="A253" s="792"/>
      <c r="B253" s="784"/>
      <c r="C253" s="785"/>
      <c r="D253" s="785"/>
      <c r="E253" s="785"/>
      <c r="F253" s="785"/>
      <c r="G253" s="785"/>
      <c r="H253" s="785"/>
      <c r="I253" s="785"/>
      <c r="J253" s="786"/>
      <c r="K253" s="770"/>
      <c r="L253" s="770"/>
      <c r="M253" s="770"/>
      <c r="N253" s="770"/>
      <c r="O253" s="771"/>
      <c r="P253" s="771"/>
      <c r="Q253" s="771"/>
      <c r="R253" s="771"/>
      <c r="S253" s="771"/>
      <c r="T253" s="775"/>
      <c r="U253" s="776"/>
      <c r="V253" s="776"/>
      <c r="W253" s="777"/>
      <c r="X253" s="363"/>
      <c r="Y253" s="256">
        <f>MAX(O252:W253)</f>
        <v>0</v>
      </c>
      <c r="Z253" s="242">
        <v>30</v>
      </c>
      <c r="AH253" s="363"/>
    </row>
    <row r="254" spans="1:34" ht="10.5" customHeight="1">
      <c r="A254" s="270"/>
      <c r="B254" s="269"/>
      <c r="C254" s="269"/>
      <c r="D254" s="269"/>
      <c r="E254" s="269"/>
      <c r="F254" s="269"/>
      <c r="G254" s="183"/>
      <c r="H254" s="183"/>
      <c r="I254" s="183"/>
      <c r="J254" s="183"/>
      <c r="K254" s="183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429"/>
      <c r="Y254" s="345"/>
      <c r="AE254" s="275"/>
      <c r="AF254" s="276"/>
      <c r="AH254" s="363"/>
    </row>
    <row r="255" spans="1:45" ht="13.5">
      <c r="A255" s="344"/>
      <c r="B255" s="262"/>
      <c r="C255" s="262"/>
      <c r="D255" s="262"/>
      <c r="E255" s="261"/>
      <c r="F255" s="261"/>
      <c r="G255" s="261"/>
      <c r="H255" s="261"/>
      <c r="I255" s="261"/>
      <c r="J255" s="261"/>
      <c r="K255" s="261"/>
      <c r="T255" s="261"/>
      <c r="U255" s="261"/>
      <c r="V255" s="261"/>
      <c r="W255" s="261"/>
      <c r="X255" s="429"/>
      <c r="AH255" s="363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</row>
    <row r="256" spans="1:45" ht="15" customHeight="1">
      <c r="A256" s="990" t="s">
        <v>209</v>
      </c>
      <c r="B256" s="1107" t="s">
        <v>738</v>
      </c>
      <c r="C256" s="1107"/>
      <c r="D256" s="1107"/>
      <c r="E256" s="1107"/>
      <c r="F256" s="1107"/>
      <c r="G256" s="1107"/>
      <c r="H256" s="1107"/>
      <c r="I256" s="1107"/>
      <c r="J256" s="1107"/>
      <c r="K256" s="1107"/>
      <c r="L256" s="1107"/>
      <c r="M256" s="1107"/>
      <c r="N256" s="1107"/>
      <c r="O256" s="1107"/>
      <c r="P256" s="1107"/>
      <c r="Q256" s="1107"/>
      <c r="R256" s="1107"/>
      <c r="S256" s="1107"/>
      <c r="T256" s="1107"/>
      <c r="U256" s="1107"/>
      <c r="V256" s="1107"/>
      <c r="W256" s="1107"/>
      <c r="X256" s="429"/>
      <c r="AD256" s="178"/>
      <c r="AG256" s="12"/>
      <c r="AH256" s="363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</row>
    <row r="257" spans="1:45" ht="6.75" customHeight="1">
      <c r="A257" s="991"/>
      <c r="B257" s="1107"/>
      <c r="C257" s="1107"/>
      <c r="D257" s="1107"/>
      <c r="E257" s="1107"/>
      <c r="F257" s="1107"/>
      <c r="G257" s="1107"/>
      <c r="H257" s="1107"/>
      <c r="I257" s="1107"/>
      <c r="J257" s="1107"/>
      <c r="K257" s="1107"/>
      <c r="L257" s="1107"/>
      <c r="M257" s="1107"/>
      <c r="N257" s="1107"/>
      <c r="O257" s="1107"/>
      <c r="P257" s="1107"/>
      <c r="Q257" s="1107"/>
      <c r="R257" s="1107"/>
      <c r="S257" s="1107"/>
      <c r="T257" s="1107"/>
      <c r="U257" s="1107"/>
      <c r="V257" s="1107"/>
      <c r="W257" s="1107"/>
      <c r="X257" s="429"/>
      <c r="AD257" s="178"/>
      <c r="AG257" s="12"/>
      <c r="AH257" s="363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</row>
    <row r="258" spans="1:45" ht="2.25" customHeight="1" hidden="1">
      <c r="A258" s="991"/>
      <c r="B258" s="1107"/>
      <c r="C258" s="1107"/>
      <c r="D258" s="1107"/>
      <c r="E258" s="1107"/>
      <c r="F258" s="1107"/>
      <c r="G258" s="1107"/>
      <c r="H258" s="1107"/>
      <c r="I258" s="1107"/>
      <c r="J258" s="1107"/>
      <c r="K258" s="1107"/>
      <c r="L258" s="1107"/>
      <c r="M258" s="1107"/>
      <c r="N258" s="1107"/>
      <c r="O258" s="1107"/>
      <c r="P258" s="1107"/>
      <c r="Q258" s="1107"/>
      <c r="R258" s="1107"/>
      <c r="S258" s="1107"/>
      <c r="T258" s="1107"/>
      <c r="U258" s="1107"/>
      <c r="V258" s="1107"/>
      <c r="W258" s="1107"/>
      <c r="X258" s="429"/>
      <c r="AD258" s="178"/>
      <c r="AG258" s="12"/>
      <c r="AH258" s="363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</row>
    <row r="259" spans="1:45" ht="12.75" customHeight="1">
      <c r="A259" s="991"/>
      <c r="B259" s="1028" t="s">
        <v>739</v>
      </c>
      <c r="C259" s="1028"/>
      <c r="D259" s="1028"/>
      <c r="E259" s="1028"/>
      <c r="F259" s="1028"/>
      <c r="G259" s="1028"/>
      <c r="H259" s="1028"/>
      <c r="I259" s="1028"/>
      <c r="J259" s="1028"/>
      <c r="K259" s="1028"/>
      <c r="L259" s="1028"/>
      <c r="M259" s="1028"/>
      <c r="N259" s="1028"/>
      <c r="O259" s="1028"/>
      <c r="P259" s="1028"/>
      <c r="Q259" s="1028"/>
      <c r="R259" s="1028"/>
      <c r="S259" s="1028"/>
      <c r="T259" s="1028"/>
      <c r="U259" s="1028"/>
      <c r="V259" s="1028"/>
      <c r="W259" s="1028"/>
      <c r="X259" s="429"/>
      <c r="AD259" s="178"/>
      <c r="AG259" s="12"/>
      <c r="AH259" s="363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</row>
    <row r="260" spans="1:45" ht="13.5" customHeight="1">
      <c r="A260" s="991"/>
      <c r="B260" s="1028"/>
      <c r="C260" s="1028"/>
      <c r="D260" s="1028"/>
      <c r="E260" s="1028"/>
      <c r="F260" s="1028"/>
      <c r="G260" s="1028"/>
      <c r="H260" s="1028"/>
      <c r="I260" s="1028"/>
      <c r="J260" s="1028"/>
      <c r="K260" s="1028"/>
      <c r="L260" s="1028"/>
      <c r="M260" s="1028"/>
      <c r="N260" s="1028"/>
      <c r="O260" s="1028"/>
      <c r="P260" s="1028"/>
      <c r="Q260" s="1028"/>
      <c r="R260" s="1028"/>
      <c r="S260" s="1028"/>
      <c r="T260" s="1028"/>
      <c r="U260" s="1028"/>
      <c r="V260" s="1028"/>
      <c r="W260" s="1028"/>
      <c r="X260" s="429"/>
      <c r="AD260" s="178"/>
      <c r="AG260" s="12"/>
      <c r="AH260" s="363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</row>
    <row r="261" spans="1:45" ht="13.5" customHeight="1">
      <c r="A261" s="991"/>
      <c r="B261" s="1028"/>
      <c r="C261" s="1028"/>
      <c r="D261" s="1028"/>
      <c r="E261" s="1028"/>
      <c r="F261" s="1028"/>
      <c r="G261" s="1028"/>
      <c r="H261" s="1028"/>
      <c r="I261" s="1028"/>
      <c r="J261" s="1028"/>
      <c r="K261" s="1028"/>
      <c r="L261" s="1028"/>
      <c r="M261" s="1028"/>
      <c r="N261" s="1028"/>
      <c r="O261" s="1028"/>
      <c r="P261" s="1028"/>
      <c r="Q261" s="1028"/>
      <c r="R261" s="1028"/>
      <c r="S261" s="1028"/>
      <c r="T261" s="1028"/>
      <c r="U261" s="1028"/>
      <c r="V261" s="1028"/>
      <c r="W261" s="1028"/>
      <c r="X261" s="429"/>
      <c r="AD261" s="178"/>
      <c r="AG261" s="12"/>
      <c r="AH261" s="363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</row>
    <row r="262" spans="1:45" ht="13.5" customHeight="1">
      <c r="A262" s="991"/>
      <c r="B262" s="1028"/>
      <c r="C262" s="1028"/>
      <c r="D262" s="1028"/>
      <c r="E262" s="1028"/>
      <c r="F262" s="1028"/>
      <c r="G262" s="1028"/>
      <c r="H262" s="1028"/>
      <c r="I262" s="1028"/>
      <c r="J262" s="1028"/>
      <c r="K262" s="1028"/>
      <c r="L262" s="1028"/>
      <c r="M262" s="1028"/>
      <c r="N262" s="1028"/>
      <c r="O262" s="1028"/>
      <c r="P262" s="1028"/>
      <c r="Q262" s="1028"/>
      <c r="R262" s="1028"/>
      <c r="S262" s="1028"/>
      <c r="T262" s="1028"/>
      <c r="U262" s="1028"/>
      <c r="V262" s="1028"/>
      <c r="W262" s="1028"/>
      <c r="X262" s="429"/>
      <c r="AD262" s="178"/>
      <c r="AG262" s="12"/>
      <c r="AH262" s="363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</row>
    <row r="263" spans="1:45" ht="12.75" customHeight="1">
      <c r="A263" s="991"/>
      <c r="B263" s="1028"/>
      <c r="C263" s="1028"/>
      <c r="D263" s="1028"/>
      <c r="E263" s="1028"/>
      <c r="F263" s="1028"/>
      <c r="G263" s="1028"/>
      <c r="H263" s="1028"/>
      <c r="I263" s="1028"/>
      <c r="J263" s="1028"/>
      <c r="K263" s="1028"/>
      <c r="L263" s="1028"/>
      <c r="M263" s="1028"/>
      <c r="N263" s="1028"/>
      <c r="O263" s="1028"/>
      <c r="P263" s="1028"/>
      <c r="Q263" s="1028"/>
      <c r="R263" s="1028"/>
      <c r="S263" s="1028"/>
      <c r="T263" s="1028"/>
      <c r="U263" s="1028"/>
      <c r="V263" s="1028"/>
      <c r="W263" s="1028"/>
      <c r="X263" s="429"/>
      <c r="AD263" s="178"/>
      <c r="AG263" s="12"/>
      <c r="AH263" s="363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</row>
    <row r="264" spans="1:45" ht="14.25" customHeight="1">
      <c r="A264" s="991"/>
      <c r="B264" s="1028" t="s">
        <v>740</v>
      </c>
      <c r="C264" s="1028"/>
      <c r="D264" s="1028"/>
      <c r="E264" s="1028"/>
      <c r="F264" s="1028"/>
      <c r="G264" s="1028"/>
      <c r="H264" s="1028"/>
      <c r="I264" s="1028"/>
      <c r="J264" s="1028"/>
      <c r="K264" s="1028"/>
      <c r="L264" s="1028"/>
      <c r="M264" s="1028"/>
      <c r="N264" s="1028"/>
      <c r="O264" s="1028"/>
      <c r="P264" s="1028"/>
      <c r="Q264" s="1028"/>
      <c r="R264" s="1028"/>
      <c r="S264" s="1028"/>
      <c r="T264" s="1028"/>
      <c r="U264" s="1028"/>
      <c r="V264" s="1028"/>
      <c r="W264" s="1028"/>
      <c r="X264" s="429"/>
      <c r="AD264" s="178"/>
      <c r="AG264" s="12"/>
      <c r="AH264" s="363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</row>
    <row r="265" spans="1:45" ht="14.25" customHeight="1">
      <c r="A265" s="991"/>
      <c r="B265" s="1028"/>
      <c r="C265" s="1028"/>
      <c r="D265" s="1028"/>
      <c r="E265" s="1028"/>
      <c r="F265" s="1028"/>
      <c r="G265" s="1028"/>
      <c r="H265" s="1028"/>
      <c r="I265" s="1028"/>
      <c r="J265" s="1028"/>
      <c r="K265" s="1028"/>
      <c r="L265" s="1028"/>
      <c r="M265" s="1028"/>
      <c r="N265" s="1028"/>
      <c r="O265" s="1028"/>
      <c r="P265" s="1028"/>
      <c r="Q265" s="1028"/>
      <c r="R265" s="1028"/>
      <c r="S265" s="1028"/>
      <c r="T265" s="1028"/>
      <c r="U265" s="1028"/>
      <c r="V265" s="1028"/>
      <c r="W265" s="1028"/>
      <c r="X265" s="429"/>
      <c r="AD265" s="178"/>
      <c r="AG265" s="12"/>
      <c r="AH265" s="363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</row>
    <row r="266" spans="1:45" ht="14.25" customHeight="1">
      <c r="A266" s="991"/>
      <c r="B266" s="1028"/>
      <c r="C266" s="1028"/>
      <c r="D266" s="1028"/>
      <c r="E266" s="1028"/>
      <c r="F266" s="1028"/>
      <c r="G266" s="1028"/>
      <c r="H266" s="1028"/>
      <c r="I266" s="1028"/>
      <c r="J266" s="1028"/>
      <c r="K266" s="1028"/>
      <c r="L266" s="1028"/>
      <c r="M266" s="1028"/>
      <c r="N266" s="1028"/>
      <c r="O266" s="1028"/>
      <c r="P266" s="1028"/>
      <c r="Q266" s="1028"/>
      <c r="R266" s="1028"/>
      <c r="S266" s="1028"/>
      <c r="T266" s="1028"/>
      <c r="U266" s="1028"/>
      <c r="V266" s="1028"/>
      <c r="W266" s="1028"/>
      <c r="X266" s="429"/>
      <c r="AD266" s="178"/>
      <c r="AG266" s="12"/>
      <c r="AH266" s="363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</row>
    <row r="267" spans="1:45" ht="6" customHeight="1">
      <c r="A267" s="271"/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429"/>
      <c r="AD267" s="178"/>
      <c r="AG267" s="12"/>
      <c r="AH267" s="363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</row>
    <row r="268" spans="1:34" ht="15" customHeight="1">
      <c r="A268" s="239" t="s">
        <v>190</v>
      </c>
      <c r="B268" s="1123" t="s">
        <v>217</v>
      </c>
      <c r="C268" s="1123"/>
      <c r="D268" s="1123"/>
      <c r="E268" s="1123"/>
      <c r="F268" s="1123"/>
      <c r="G268" s="1123"/>
      <c r="H268" s="1123"/>
      <c r="I268" s="1123"/>
      <c r="J268" s="1123"/>
      <c r="K268" s="1123"/>
      <c r="L268" s="1123"/>
      <c r="M268" s="1123"/>
      <c r="N268" s="1123"/>
      <c r="O268" s="1123"/>
      <c r="P268" s="1123"/>
      <c r="Q268" s="1123"/>
      <c r="R268" s="1123"/>
      <c r="S268" s="1123"/>
      <c r="T268" s="1123"/>
      <c r="U268" s="1123"/>
      <c r="V268" s="1123"/>
      <c r="W268" s="1123"/>
      <c r="X268" s="429"/>
      <c r="Y268" s="282" t="str">
        <f>A268</f>
        <v>3.</v>
      </c>
      <c r="Z268" s="281"/>
      <c r="AA268" s="240" t="s">
        <v>284</v>
      </c>
      <c r="AB268" s="240" t="s">
        <v>208</v>
      </c>
      <c r="AC268" s="240" t="s">
        <v>283</v>
      </c>
      <c r="AE268" s="307" t="s">
        <v>285</v>
      </c>
      <c r="AG268" s="280"/>
      <c r="AH268" s="363"/>
    </row>
    <row r="269" spans="2:34" ht="15" customHeight="1">
      <c r="B269" s="1123"/>
      <c r="C269" s="1123"/>
      <c r="D269" s="1123"/>
      <c r="E269" s="1123"/>
      <c r="F269" s="1123"/>
      <c r="G269" s="1123"/>
      <c r="H269" s="1123"/>
      <c r="I269" s="1123"/>
      <c r="J269" s="1123"/>
      <c r="K269" s="1123"/>
      <c r="L269" s="1123"/>
      <c r="M269" s="1123"/>
      <c r="N269" s="1123"/>
      <c r="O269" s="1123"/>
      <c r="P269" s="1123"/>
      <c r="Q269" s="1123"/>
      <c r="R269" s="1123"/>
      <c r="S269" s="1123"/>
      <c r="T269" s="1123"/>
      <c r="U269" s="1123"/>
      <c r="V269" s="1123"/>
      <c r="W269" s="1123"/>
      <c r="X269" s="429"/>
      <c r="Z269" s="260" t="s">
        <v>296</v>
      </c>
      <c r="AA269" s="257">
        <f>SUM(Y270:Y455)</f>
        <v>0</v>
      </c>
      <c r="AB269" s="242">
        <f>SUM(Z270:Z454)</f>
        <v>970</v>
      </c>
      <c r="AC269" s="259">
        <f>SUM(AA270:AA454)</f>
        <v>70</v>
      </c>
      <c r="AD269" s="275"/>
      <c r="AE269" s="307" t="b">
        <f>итого_2&gt;=AC269</f>
        <v>0</v>
      </c>
      <c r="AH269" s="363"/>
    </row>
    <row r="270" spans="1:64" ht="13.5" customHeight="1">
      <c r="A270" s="1080" t="s">
        <v>201</v>
      </c>
      <c r="B270" s="1080"/>
      <c r="C270" s="1080"/>
      <c r="D270" s="1080"/>
      <c r="E270" s="1080"/>
      <c r="F270" s="1080"/>
      <c r="G270" s="1080"/>
      <c r="H270" s="1080"/>
      <c r="I270" s="1080"/>
      <c r="J270" s="1080"/>
      <c r="K270" s="1080"/>
      <c r="L270" s="1080"/>
      <c r="M270" s="1080"/>
      <c r="N270" s="1080"/>
      <c r="O270" s="1080"/>
      <c r="P270" s="1080"/>
      <c r="Q270" s="1080"/>
      <c r="R270" s="1080"/>
      <c r="S270" s="1080"/>
      <c r="T270" s="1080"/>
      <c r="U270" s="1080"/>
      <c r="V270" s="1080"/>
      <c r="W270" s="1080"/>
      <c r="X270" s="429"/>
      <c r="Y270" s="197"/>
      <c r="AB270" s="197"/>
      <c r="AC270" s="197"/>
      <c r="AD270" s="197"/>
      <c r="AF270" s="197"/>
      <c r="AG270" s="197"/>
      <c r="AH270" s="363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</row>
    <row r="271" spans="1:64" ht="12.75" customHeight="1">
      <c r="A271" s="992" t="s">
        <v>202</v>
      </c>
      <c r="B271" s="1122" t="s">
        <v>218</v>
      </c>
      <c r="C271" s="1122"/>
      <c r="D271" s="1122"/>
      <c r="E271" s="1122"/>
      <c r="F271" s="1122"/>
      <c r="G271" s="1122"/>
      <c r="H271" s="1122"/>
      <c r="I271" s="1122"/>
      <c r="J271" s="1122"/>
      <c r="K271" s="1122"/>
      <c r="L271" s="1122"/>
      <c r="M271" s="1122"/>
      <c r="N271" s="1122"/>
      <c r="O271" s="1122"/>
      <c r="P271" s="1122"/>
      <c r="Q271" s="1122"/>
      <c r="R271" s="1122"/>
      <c r="S271" s="1122"/>
      <c r="T271" s="1122"/>
      <c r="U271" s="1122"/>
      <c r="V271" s="1122"/>
      <c r="W271" s="1122"/>
      <c r="X271" s="429"/>
      <c r="Y271" s="197"/>
      <c r="AB271" s="197"/>
      <c r="AC271" s="197"/>
      <c r="AD271" s="197"/>
      <c r="AE271" s="197"/>
      <c r="AF271" s="197"/>
      <c r="AG271" s="197"/>
      <c r="AH271" s="363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</row>
    <row r="272" spans="1:64" ht="12.75" customHeight="1">
      <c r="A272" s="992"/>
      <c r="B272" s="1122"/>
      <c r="C272" s="1122"/>
      <c r="D272" s="1122"/>
      <c r="E272" s="1122"/>
      <c r="F272" s="1122"/>
      <c r="G272" s="1122"/>
      <c r="H272" s="1122"/>
      <c r="I272" s="1122"/>
      <c r="J272" s="1122"/>
      <c r="K272" s="1122"/>
      <c r="L272" s="1122"/>
      <c r="M272" s="1122"/>
      <c r="N272" s="1122"/>
      <c r="O272" s="1122"/>
      <c r="P272" s="1122"/>
      <c r="Q272" s="1122"/>
      <c r="R272" s="1122"/>
      <c r="S272" s="1122"/>
      <c r="T272" s="1122"/>
      <c r="U272" s="1122"/>
      <c r="V272" s="1122"/>
      <c r="W272" s="1122"/>
      <c r="X272" s="429"/>
      <c r="Y272" s="197"/>
      <c r="AB272" s="197"/>
      <c r="AC272" s="197"/>
      <c r="AD272" s="197"/>
      <c r="AE272" s="197"/>
      <c r="AF272" s="197"/>
      <c r="AG272" s="197"/>
      <c r="AH272" s="363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</row>
    <row r="273" spans="1:64" ht="12.75" customHeight="1">
      <c r="A273" s="992"/>
      <c r="B273" s="1122"/>
      <c r="C273" s="1122"/>
      <c r="D273" s="1122"/>
      <c r="E273" s="1122"/>
      <c r="F273" s="1122"/>
      <c r="G273" s="1122"/>
      <c r="H273" s="1122"/>
      <c r="I273" s="1122"/>
      <c r="J273" s="1122"/>
      <c r="K273" s="1122"/>
      <c r="L273" s="1122"/>
      <c r="M273" s="1122"/>
      <c r="N273" s="1122"/>
      <c r="O273" s="1122"/>
      <c r="P273" s="1122"/>
      <c r="Q273" s="1122"/>
      <c r="R273" s="1122"/>
      <c r="S273" s="1122"/>
      <c r="T273" s="1122"/>
      <c r="U273" s="1122"/>
      <c r="V273" s="1122"/>
      <c r="W273" s="1122"/>
      <c r="X273" s="429"/>
      <c r="Y273" s="197"/>
      <c r="AB273" s="197"/>
      <c r="AC273" s="197"/>
      <c r="AD273" s="197"/>
      <c r="AE273" s="197"/>
      <c r="AF273" s="197"/>
      <c r="AG273" s="197"/>
      <c r="AH273" s="363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</row>
    <row r="274" spans="1:64" ht="11.25" customHeight="1">
      <c r="A274" s="992"/>
      <c r="B274" s="1122"/>
      <c r="C274" s="1122"/>
      <c r="D274" s="1122"/>
      <c r="E274" s="1122"/>
      <c r="F274" s="1122"/>
      <c r="G274" s="1122"/>
      <c r="H274" s="1122"/>
      <c r="I274" s="1122"/>
      <c r="J274" s="1122"/>
      <c r="K274" s="1122"/>
      <c r="L274" s="1122"/>
      <c r="M274" s="1122"/>
      <c r="N274" s="1122"/>
      <c r="O274" s="1122"/>
      <c r="P274" s="1122"/>
      <c r="Q274" s="1122"/>
      <c r="R274" s="1122"/>
      <c r="S274" s="1122"/>
      <c r="T274" s="1122"/>
      <c r="U274" s="1122"/>
      <c r="V274" s="1122"/>
      <c r="W274" s="1122"/>
      <c r="X274" s="429"/>
      <c r="Y274" s="197"/>
      <c r="AB274" s="197"/>
      <c r="AC274" s="197"/>
      <c r="AD274" s="197"/>
      <c r="AE274" s="197"/>
      <c r="AF274" s="197"/>
      <c r="AG274" s="197"/>
      <c r="AH274" s="363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</row>
    <row r="275" spans="1:64" ht="9.75" customHeight="1">
      <c r="A275" s="992"/>
      <c r="B275" s="1122"/>
      <c r="C275" s="1122"/>
      <c r="D275" s="1122"/>
      <c r="E275" s="1122"/>
      <c r="F275" s="1122"/>
      <c r="G275" s="1122"/>
      <c r="H275" s="1122"/>
      <c r="I275" s="1122"/>
      <c r="J275" s="1122"/>
      <c r="K275" s="1122"/>
      <c r="L275" s="1122"/>
      <c r="M275" s="1122"/>
      <c r="N275" s="1122"/>
      <c r="O275" s="1122"/>
      <c r="P275" s="1122"/>
      <c r="Q275" s="1122"/>
      <c r="R275" s="1122"/>
      <c r="S275" s="1122"/>
      <c r="T275" s="1122"/>
      <c r="U275" s="1122"/>
      <c r="V275" s="1122"/>
      <c r="W275" s="1122"/>
      <c r="X275" s="429"/>
      <c r="Y275" s="198"/>
      <c r="AB275" s="198"/>
      <c r="AC275" s="198"/>
      <c r="AD275" s="198"/>
      <c r="AE275" s="198"/>
      <c r="AF275" s="198"/>
      <c r="AG275" s="198"/>
      <c r="AH275" s="363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</row>
    <row r="276" spans="1:64" ht="12.75" customHeight="1">
      <c r="A276" s="992" t="s">
        <v>202</v>
      </c>
      <c r="B276" s="1027" t="s">
        <v>219</v>
      </c>
      <c r="C276" s="1027"/>
      <c r="D276" s="1027"/>
      <c r="E276" s="1027"/>
      <c r="F276" s="1027"/>
      <c r="G276" s="1027"/>
      <c r="H276" s="1027"/>
      <c r="I276" s="1027"/>
      <c r="J276" s="1027"/>
      <c r="K276" s="1027"/>
      <c r="L276" s="1027"/>
      <c r="M276" s="1027"/>
      <c r="N276" s="1027"/>
      <c r="O276" s="1027"/>
      <c r="P276" s="1027"/>
      <c r="Q276" s="1027"/>
      <c r="R276" s="1027"/>
      <c r="S276" s="1027"/>
      <c r="T276" s="1027"/>
      <c r="U276" s="1027"/>
      <c r="V276" s="1027"/>
      <c r="W276" s="1027"/>
      <c r="X276" s="429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363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</row>
    <row r="277" spans="1:64" ht="12.75" customHeight="1">
      <c r="A277" s="992"/>
      <c r="B277" s="1027"/>
      <c r="C277" s="1027"/>
      <c r="D277" s="1027"/>
      <c r="E277" s="1027"/>
      <c r="F277" s="1027"/>
      <c r="G277" s="1027"/>
      <c r="H277" s="1027"/>
      <c r="I277" s="1027"/>
      <c r="J277" s="1027"/>
      <c r="K277" s="1027"/>
      <c r="L277" s="1027"/>
      <c r="M277" s="1027"/>
      <c r="N277" s="1027"/>
      <c r="O277" s="1027"/>
      <c r="P277" s="1027"/>
      <c r="Q277" s="1027"/>
      <c r="R277" s="1027"/>
      <c r="S277" s="1027"/>
      <c r="T277" s="1027"/>
      <c r="U277" s="1027"/>
      <c r="V277" s="1027"/>
      <c r="W277" s="1027"/>
      <c r="X277" s="429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363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</row>
    <row r="278" spans="1:64" ht="12.75" customHeight="1">
      <c r="A278" s="992"/>
      <c r="B278" s="1027"/>
      <c r="C278" s="1027"/>
      <c r="D278" s="1027"/>
      <c r="E278" s="1027"/>
      <c r="F278" s="1027"/>
      <c r="G278" s="1027"/>
      <c r="H278" s="1027"/>
      <c r="I278" s="1027"/>
      <c r="J278" s="1027"/>
      <c r="K278" s="1027"/>
      <c r="L278" s="1027"/>
      <c r="M278" s="1027"/>
      <c r="N278" s="1027"/>
      <c r="O278" s="1027"/>
      <c r="P278" s="1027"/>
      <c r="Q278" s="1027"/>
      <c r="R278" s="1027"/>
      <c r="S278" s="1027"/>
      <c r="T278" s="1027"/>
      <c r="U278" s="1027"/>
      <c r="V278" s="1027"/>
      <c r="W278" s="1027"/>
      <c r="X278" s="429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363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</row>
    <row r="279" spans="1:64" ht="12.75" customHeight="1">
      <c r="A279" s="992"/>
      <c r="B279" s="1027"/>
      <c r="C279" s="1027"/>
      <c r="D279" s="1027"/>
      <c r="E279" s="1027"/>
      <c r="F279" s="1027"/>
      <c r="G279" s="1027"/>
      <c r="H279" s="1027"/>
      <c r="I279" s="1027"/>
      <c r="J279" s="1027"/>
      <c r="K279" s="1027"/>
      <c r="L279" s="1027"/>
      <c r="M279" s="1027"/>
      <c r="N279" s="1027"/>
      <c r="O279" s="1027"/>
      <c r="P279" s="1027"/>
      <c r="Q279" s="1027"/>
      <c r="R279" s="1027"/>
      <c r="S279" s="1027"/>
      <c r="T279" s="1027"/>
      <c r="U279" s="1027"/>
      <c r="V279" s="1027"/>
      <c r="W279" s="1027"/>
      <c r="X279" s="429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363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</row>
    <row r="280" spans="1:64" ht="12.75" customHeight="1">
      <c r="A280" s="992"/>
      <c r="B280" s="1027"/>
      <c r="C280" s="1027"/>
      <c r="D280" s="1027"/>
      <c r="E280" s="1027"/>
      <c r="F280" s="1027"/>
      <c r="G280" s="1027"/>
      <c r="H280" s="1027"/>
      <c r="I280" s="1027"/>
      <c r="J280" s="1027"/>
      <c r="K280" s="1027"/>
      <c r="L280" s="1027"/>
      <c r="M280" s="1027"/>
      <c r="N280" s="1027"/>
      <c r="O280" s="1027"/>
      <c r="P280" s="1027"/>
      <c r="Q280" s="1027"/>
      <c r="R280" s="1027"/>
      <c r="S280" s="1027"/>
      <c r="T280" s="1027"/>
      <c r="U280" s="1027"/>
      <c r="V280" s="1027"/>
      <c r="W280" s="1027"/>
      <c r="X280" s="429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363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</row>
    <row r="281" spans="1:34" ht="11.25" customHeight="1">
      <c r="A281" s="992"/>
      <c r="B281" s="1027"/>
      <c r="C281" s="1027"/>
      <c r="D281" s="1027"/>
      <c r="E281" s="1027"/>
      <c r="F281" s="1027"/>
      <c r="G281" s="1027"/>
      <c r="H281" s="1027"/>
      <c r="I281" s="1027"/>
      <c r="J281" s="1027"/>
      <c r="K281" s="1027"/>
      <c r="L281" s="1027"/>
      <c r="M281" s="1027"/>
      <c r="N281" s="1027"/>
      <c r="O281" s="1027"/>
      <c r="P281" s="1027"/>
      <c r="Q281" s="1027"/>
      <c r="R281" s="1027"/>
      <c r="S281" s="1027"/>
      <c r="T281" s="1027"/>
      <c r="U281" s="1027"/>
      <c r="V281" s="1027"/>
      <c r="W281" s="1027"/>
      <c r="X281" s="429"/>
      <c r="AH281" s="363"/>
    </row>
    <row r="282" spans="1:256" ht="12.75">
      <c r="A282" s="992"/>
      <c r="B282" s="1027"/>
      <c r="C282" s="1027"/>
      <c r="D282" s="1027"/>
      <c r="E282" s="1027"/>
      <c r="F282" s="1027"/>
      <c r="G282" s="1027"/>
      <c r="H282" s="1027"/>
      <c r="I282" s="1027"/>
      <c r="J282" s="1027"/>
      <c r="K282" s="1027"/>
      <c r="L282" s="1027"/>
      <c r="M282" s="1027"/>
      <c r="N282" s="1027"/>
      <c r="O282" s="1027"/>
      <c r="P282" s="1027"/>
      <c r="Q282" s="1027"/>
      <c r="R282" s="1027"/>
      <c r="S282" s="1027"/>
      <c r="T282" s="1027"/>
      <c r="U282" s="1027"/>
      <c r="V282" s="1027"/>
      <c r="W282" s="1027"/>
      <c r="X282" s="429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363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5"/>
      <c r="BN282" s="141"/>
      <c r="BO282" s="181"/>
      <c r="BP282" s="150"/>
      <c r="BQ282" s="150"/>
      <c r="BR282" s="182"/>
      <c r="BS282" s="150"/>
      <c r="BT282" s="150"/>
      <c r="BU282" s="150"/>
      <c r="BV282" s="150"/>
      <c r="BW282" s="150"/>
      <c r="BX282" s="15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  <c r="CV282" s="180"/>
      <c r="CW282" s="180"/>
      <c r="CX282" s="180"/>
      <c r="CY282" s="180"/>
      <c r="CZ282" s="180"/>
      <c r="DA282" s="180"/>
      <c r="DB282" s="180"/>
      <c r="DC282" s="180"/>
      <c r="DD282" s="180"/>
      <c r="DE282" s="180"/>
      <c r="DG282" s="180"/>
      <c r="DH282" s="180"/>
      <c r="DI282" s="180"/>
      <c r="DJ282" s="180"/>
      <c r="DK282" s="180"/>
      <c r="DL282" s="180"/>
      <c r="DM282" s="180"/>
      <c r="DN282" s="180"/>
      <c r="DO282" s="180"/>
      <c r="DP282" s="180"/>
      <c r="DQ282" s="180"/>
      <c r="DR282" s="180"/>
      <c r="DS282" s="180"/>
      <c r="DT282" s="180"/>
      <c r="DU282" s="180"/>
      <c r="DV282" s="180"/>
      <c r="DW282" s="180"/>
      <c r="DX282" s="180"/>
      <c r="DY282" s="180"/>
      <c r="DZ282" s="180"/>
      <c r="EA282" s="180"/>
      <c r="EB282" s="180"/>
      <c r="EC282" s="180"/>
      <c r="ED282" s="180"/>
      <c r="EE282" s="180"/>
      <c r="EF282" s="180"/>
      <c r="EG282" s="180"/>
      <c r="EH282" s="180"/>
      <c r="EI282" s="180"/>
      <c r="EJ282" s="180"/>
      <c r="EK282" s="180"/>
      <c r="EL282" s="180"/>
      <c r="EM282" s="180"/>
      <c r="EN282" s="180"/>
      <c r="EO282" s="180"/>
      <c r="EP282" s="180"/>
      <c r="EQ282" s="180"/>
      <c r="ER282" s="180"/>
      <c r="ES282" s="180"/>
      <c r="ET282" s="180"/>
      <c r="EU282" s="180"/>
      <c r="EV282" s="180"/>
      <c r="EW282" s="180"/>
      <c r="EX282" s="180"/>
      <c r="EY282" s="180"/>
      <c r="EZ282" s="180"/>
      <c r="FA282" s="180"/>
      <c r="FB282" s="180"/>
      <c r="FC282" s="180"/>
      <c r="FD282" s="180"/>
      <c r="FE282" s="180"/>
      <c r="FF282" s="180"/>
      <c r="FG282" s="180"/>
      <c r="FH282" s="180"/>
      <c r="FI282" s="180"/>
      <c r="FJ282" s="180"/>
      <c r="FK282" s="180"/>
      <c r="FL282" s="180"/>
      <c r="FM282" s="180"/>
      <c r="FN282" s="180"/>
      <c r="FO282" s="180"/>
      <c r="FP282" s="180"/>
      <c r="FQ282" s="180"/>
      <c r="FR282" s="180"/>
      <c r="FS282" s="180"/>
      <c r="FT282" s="180"/>
      <c r="FU282" s="180"/>
      <c r="FV282" s="180"/>
      <c r="FW282" s="180"/>
      <c r="FX282" s="180"/>
      <c r="FY282" s="180"/>
      <c r="FZ282" s="180"/>
      <c r="GA282" s="180"/>
      <c r="GB282" s="180"/>
      <c r="GC282" s="180"/>
      <c r="GD282" s="180"/>
      <c r="GE282" s="180"/>
      <c r="GF282" s="180"/>
      <c r="GG282" s="180"/>
      <c r="GH282" s="180"/>
      <c r="GI282" s="180"/>
      <c r="GJ282" s="180"/>
      <c r="GK282" s="180"/>
      <c r="GL282" s="180"/>
      <c r="GM282" s="180"/>
      <c r="GN282" s="180"/>
      <c r="GO282" s="180"/>
      <c r="GP282" s="180"/>
      <c r="GQ282" s="180"/>
      <c r="GR282" s="180"/>
      <c r="GS282" s="180"/>
      <c r="GT282" s="180"/>
      <c r="GU282" s="180"/>
      <c r="GV282" s="180"/>
      <c r="GW282" s="180"/>
      <c r="GX282" s="180"/>
      <c r="GY282" s="180"/>
      <c r="GZ282" s="180"/>
      <c r="HA282" s="180"/>
      <c r="HB282" s="180"/>
      <c r="HC282" s="180"/>
      <c r="HD282" s="180"/>
      <c r="HE282" s="180"/>
      <c r="HF282" s="180"/>
      <c r="HG282" s="180"/>
      <c r="HH282" s="180"/>
      <c r="HI282" s="180"/>
      <c r="HJ282" s="180"/>
      <c r="HK282" s="180"/>
      <c r="HL282" s="180"/>
      <c r="HM282" s="180"/>
      <c r="HN282" s="180"/>
      <c r="HO282" s="180"/>
      <c r="HP282" s="180"/>
      <c r="HQ282" s="180"/>
      <c r="HR282" s="180"/>
      <c r="HS282" s="180"/>
      <c r="HT282" s="180"/>
      <c r="HU282" s="180"/>
      <c r="HV282" s="180"/>
      <c r="HW282" s="180"/>
      <c r="HX282" s="180"/>
      <c r="HY282" s="180"/>
      <c r="HZ282" s="180"/>
      <c r="IA282" s="180"/>
      <c r="IB282" s="180"/>
      <c r="IC282" s="180"/>
      <c r="ID282" s="180"/>
      <c r="IE282" s="180"/>
      <c r="IF282" s="180"/>
      <c r="IG282" s="180"/>
      <c r="IH282" s="180"/>
      <c r="II282" s="180"/>
      <c r="IJ282" s="180"/>
      <c r="IK282" s="180"/>
      <c r="IL282" s="180"/>
      <c r="IM282" s="180"/>
      <c r="IN282" s="180"/>
      <c r="IO282" s="180"/>
      <c r="IP282" s="180"/>
      <c r="IQ282" s="180"/>
      <c r="IR282" s="180"/>
      <c r="IS282" s="180"/>
      <c r="IT282" s="180"/>
      <c r="IU282" s="180"/>
      <c r="IV282" s="180"/>
    </row>
    <row r="283" spans="1:34" ht="3.75" customHeight="1">
      <c r="A283" s="199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80"/>
      <c r="U283" s="180"/>
      <c r="V283" s="180"/>
      <c r="W283" s="180"/>
      <c r="X283" s="429"/>
      <c r="AH283" s="363"/>
    </row>
    <row r="284" spans="1:34" ht="12.75">
      <c r="A284" s="252" t="s">
        <v>272</v>
      </c>
      <c r="B284" s="294" t="s">
        <v>220</v>
      </c>
      <c r="X284" s="429"/>
      <c r="AH284" s="363"/>
    </row>
    <row r="285" spans="24:34" ht="3" customHeight="1">
      <c r="X285" s="429"/>
      <c r="AH285" s="363"/>
    </row>
    <row r="286" spans="1:34" ht="14.25" customHeight="1">
      <c r="A286" s="1124" t="s">
        <v>203</v>
      </c>
      <c r="B286" s="806" t="s">
        <v>221</v>
      </c>
      <c r="C286" s="807"/>
      <c r="D286" s="807"/>
      <c r="E286" s="807"/>
      <c r="F286" s="807"/>
      <c r="G286" s="807"/>
      <c r="H286" s="807"/>
      <c r="I286" s="807"/>
      <c r="J286" s="808"/>
      <c r="K286" s="787" t="s">
        <v>205</v>
      </c>
      <c r="L286" s="788"/>
      <c r="M286" s="788"/>
      <c r="N286" s="788"/>
      <c r="O286" s="788"/>
      <c r="P286" s="788"/>
      <c r="Q286" s="788"/>
      <c r="R286" s="788"/>
      <c r="S286" s="788"/>
      <c r="T286" s="788"/>
      <c r="U286" s="788"/>
      <c r="V286" s="788"/>
      <c r="W286" s="789"/>
      <c r="X286" s="429"/>
      <c r="AH286" s="363"/>
    </row>
    <row r="287" spans="1:34" ht="14.25" customHeight="1">
      <c r="A287" s="1124"/>
      <c r="B287" s="809"/>
      <c r="C287" s="810"/>
      <c r="D287" s="810"/>
      <c r="E287" s="810"/>
      <c r="F287" s="810"/>
      <c r="G287" s="810"/>
      <c r="H287" s="810"/>
      <c r="I287" s="810"/>
      <c r="J287" s="811"/>
      <c r="K287" s="833" t="s">
        <v>206</v>
      </c>
      <c r="L287" s="834"/>
      <c r="M287" s="834"/>
      <c r="N287" s="834"/>
      <c r="O287" s="834"/>
      <c r="P287" s="834"/>
      <c r="Q287" s="834"/>
      <c r="R287" s="834"/>
      <c r="S287" s="834"/>
      <c r="T287" s="834"/>
      <c r="U287" s="834"/>
      <c r="V287" s="834"/>
      <c r="W287" s="835"/>
      <c r="X287" s="429"/>
      <c r="AH287" s="363"/>
    </row>
    <row r="288" spans="1:34" ht="14.25" customHeight="1">
      <c r="A288" s="1124"/>
      <c r="B288" s="809"/>
      <c r="C288" s="810"/>
      <c r="D288" s="810"/>
      <c r="E288" s="810"/>
      <c r="F288" s="810"/>
      <c r="G288" s="810"/>
      <c r="H288" s="810"/>
      <c r="I288" s="810"/>
      <c r="J288" s="811"/>
      <c r="K288" s="1096">
        <v>0</v>
      </c>
      <c r="L288" s="1096"/>
      <c r="M288" s="1096"/>
      <c r="N288" s="1096"/>
      <c r="O288" s="1096"/>
      <c r="P288" s="821">
        <v>10</v>
      </c>
      <c r="Q288" s="822"/>
      <c r="R288" s="822"/>
      <c r="S288" s="823"/>
      <c r="T288" s="821">
        <v>20</v>
      </c>
      <c r="U288" s="822"/>
      <c r="V288" s="822"/>
      <c r="W288" s="823"/>
      <c r="X288" s="429"/>
      <c r="AH288" s="363"/>
    </row>
    <row r="289" spans="1:34" ht="14.25" customHeight="1">
      <c r="A289" s="1124"/>
      <c r="B289" s="809"/>
      <c r="C289" s="810"/>
      <c r="D289" s="810"/>
      <c r="E289" s="810"/>
      <c r="F289" s="810"/>
      <c r="G289" s="810"/>
      <c r="H289" s="810"/>
      <c r="I289" s="810"/>
      <c r="J289" s="811"/>
      <c r="K289" s="802" t="s">
        <v>294</v>
      </c>
      <c r="L289" s="802"/>
      <c r="M289" s="802"/>
      <c r="N289" s="802"/>
      <c r="O289" s="802"/>
      <c r="P289" s="761" t="s">
        <v>295</v>
      </c>
      <c r="Q289" s="762"/>
      <c r="R289" s="762"/>
      <c r="S289" s="763"/>
      <c r="T289" s="761" t="s">
        <v>222</v>
      </c>
      <c r="U289" s="762"/>
      <c r="V289" s="762"/>
      <c r="W289" s="763"/>
      <c r="X289" s="429"/>
      <c r="AH289" s="363"/>
    </row>
    <row r="290" spans="1:34" ht="14.25" customHeight="1">
      <c r="A290" s="1124"/>
      <c r="B290" s="809"/>
      <c r="C290" s="810"/>
      <c r="D290" s="810"/>
      <c r="E290" s="810"/>
      <c r="F290" s="810"/>
      <c r="G290" s="810"/>
      <c r="H290" s="810"/>
      <c r="I290" s="810"/>
      <c r="J290" s="811"/>
      <c r="K290" s="802"/>
      <c r="L290" s="802"/>
      <c r="M290" s="802"/>
      <c r="N290" s="802"/>
      <c r="O290" s="802"/>
      <c r="P290" s="764"/>
      <c r="Q290" s="765"/>
      <c r="R290" s="765"/>
      <c r="S290" s="766"/>
      <c r="T290" s="764"/>
      <c r="U290" s="765"/>
      <c r="V290" s="765"/>
      <c r="W290" s="766"/>
      <c r="X290" s="429"/>
      <c r="AH290" s="363"/>
    </row>
    <row r="291" spans="1:34" ht="14.25" customHeight="1">
      <c r="A291" s="1124"/>
      <c r="B291" s="809"/>
      <c r="C291" s="810"/>
      <c r="D291" s="810"/>
      <c r="E291" s="810"/>
      <c r="F291" s="810"/>
      <c r="G291" s="810"/>
      <c r="H291" s="810"/>
      <c r="I291" s="810"/>
      <c r="J291" s="811"/>
      <c r="K291" s="802"/>
      <c r="L291" s="802"/>
      <c r="M291" s="802"/>
      <c r="N291" s="802"/>
      <c r="O291" s="802"/>
      <c r="P291" s="764"/>
      <c r="Q291" s="765"/>
      <c r="R291" s="765"/>
      <c r="S291" s="766"/>
      <c r="T291" s="764"/>
      <c r="U291" s="765"/>
      <c r="V291" s="765"/>
      <c r="W291" s="766"/>
      <c r="X291" s="429"/>
      <c r="AE291" s="5" t="s">
        <v>413</v>
      </c>
      <c r="AH291" s="363"/>
    </row>
    <row r="292" spans="1:34" ht="10.5" customHeight="1">
      <c r="A292" s="1124"/>
      <c r="B292" s="812"/>
      <c r="C292" s="813"/>
      <c r="D292" s="813"/>
      <c r="E292" s="813"/>
      <c r="F292" s="813"/>
      <c r="G292" s="813"/>
      <c r="H292" s="813"/>
      <c r="I292" s="813"/>
      <c r="J292" s="814"/>
      <c r="K292" s="802"/>
      <c r="L292" s="802"/>
      <c r="M292" s="802"/>
      <c r="N292" s="802"/>
      <c r="O292" s="802"/>
      <c r="P292" s="767"/>
      <c r="Q292" s="768"/>
      <c r="R292" s="768"/>
      <c r="S292" s="769"/>
      <c r="T292" s="764"/>
      <c r="U292" s="765"/>
      <c r="V292" s="765"/>
      <c r="W292" s="766"/>
      <c r="X292" s="429"/>
      <c r="Z292" s="240" t="s">
        <v>208</v>
      </c>
      <c r="AA292" s="241" t="s">
        <v>283</v>
      </c>
      <c r="AE292" s="279" t="s">
        <v>3</v>
      </c>
      <c r="AF292" s="280" t="s">
        <v>2</v>
      </c>
      <c r="AH292" s="363"/>
    </row>
    <row r="293" spans="1:34" ht="12.75">
      <c r="A293" s="790" t="s">
        <v>187</v>
      </c>
      <c r="B293" s="778" t="s">
        <v>721</v>
      </c>
      <c r="C293" s="779"/>
      <c r="D293" s="779"/>
      <c r="E293" s="779"/>
      <c r="F293" s="779"/>
      <c r="G293" s="779"/>
      <c r="H293" s="779"/>
      <c r="I293" s="779"/>
      <c r="J293" s="780"/>
      <c r="K293" s="793">
        <f>IF(Y293=0,IF(FIO="","",0),"")</f>
      </c>
      <c r="L293" s="794"/>
      <c r="M293" s="794"/>
      <c r="N293" s="794"/>
      <c r="O293" s="795"/>
      <c r="P293" s="836"/>
      <c r="Q293" s="837"/>
      <c r="R293" s="837"/>
      <c r="S293" s="838"/>
      <c r="T293" s="836"/>
      <c r="U293" s="837"/>
      <c r="V293" s="837"/>
      <c r="W293" s="838"/>
      <c r="X293" s="429"/>
      <c r="Y293" s="855">
        <f>MAX(P293:W296)</f>
        <v>0</v>
      </c>
      <c r="Z293" s="242">
        <v>100</v>
      </c>
      <c r="AA293" s="259"/>
      <c r="AE293" s="275">
        <v>60</v>
      </c>
      <c r="AF293" s="276">
        <v>50</v>
      </c>
      <c r="AH293" s="363"/>
    </row>
    <row r="294" spans="1:34" ht="12.75">
      <c r="A294" s="791"/>
      <c r="B294" s="781"/>
      <c r="C294" s="782"/>
      <c r="D294" s="782"/>
      <c r="E294" s="782"/>
      <c r="F294" s="782"/>
      <c r="G294" s="782"/>
      <c r="H294" s="782"/>
      <c r="I294" s="782"/>
      <c r="J294" s="783"/>
      <c r="K294" s="796"/>
      <c r="L294" s="797"/>
      <c r="M294" s="797"/>
      <c r="N294" s="797"/>
      <c r="O294" s="798"/>
      <c r="P294" s="839"/>
      <c r="Q294" s="840"/>
      <c r="R294" s="840"/>
      <c r="S294" s="841"/>
      <c r="T294" s="839"/>
      <c r="U294" s="840"/>
      <c r="V294" s="840"/>
      <c r="W294" s="841"/>
      <c r="X294" s="429"/>
      <c r="Y294" s="855"/>
      <c r="AH294" s="363"/>
    </row>
    <row r="295" spans="1:34" ht="3.75" customHeight="1">
      <c r="A295" s="791"/>
      <c r="B295" s="781"/>
      <c r="C295" s="782"/>
      <c r="D295" s="782"/>
      <c r="E295" s="782"/>
      <c r="F295" s="782"/>
      <c r="G295" s="782"/>
      <c r="H295" s="782"/>
      <c r="I295" s="782"/>
      <c r="J295" s="783"/>
      <c r="K295" s="796"/>
      <c r="L295" s="797"/>
      <c r="M295" s="797"/>
      <c r="N295" s="797"/>
      <c r="O295" s="798"/>
      <c r="P295" s="839"/>
      <c r="Q295" s="840"/>
      <c r="R295" s="840"/>
      <c r="S295" s="841"/>
      <c r="T295" s="839"/>
      <c r="U295" s="840"/>
      <c r="V295" s="840"/>
      <c r="W295" s="841"/>
      <c r="X295" s="429"/>
      <c r="Y295" s="855"/>
      <c r="AH295" s="363"/>
    </row>
    <row r="296" spans="1:34" ht="3.75" customHeight="1">
      <c r="A296" s="792"/>
      <c r="B296" s="784"/>
      <c r="C296" s="785"/>
      <c r="D296" s="785"/>
      <c r="E296" s="785"/>
      <c r="F296" s="785"/>
      <c r="G296" s="785"/>
      <c r="H296" s="785"/>
      <c r="I296" s="785"/>
      <c r="J296" s="786"/>
      <c r="K296" s="799"/>
      <c r="L296" s="800"/>
      <c r="M296" s="800"/>
      <c r="N296" s="800"/>
      <c r="O296" s="801"/>
      <c r="P296" s="842"/>
      <c r="Q296" s="843"/>
      <c r="R296" s="843"/>
      <c r="S296" s="844"/>
      <c r="T296" s="842"/>
      <c r="U296" s="843"/>
      <c r="V296" s="843"/>
      <c r="W296" s="844"/>
      <c r="X296" s="429"/>
      <c r="Y296" s="855"/>
      <c r="AH296" s="363"/>
    </row>
    <row r="297" spans="1:34" ht="12.75">
      <c r="A297" s="790" t="s">
        <v>189</v>
      </c>
      <c r="B297" s="778" t="s">
        <v>722</v>
      </c>
      <c r="C297" s="779"/>
      <c r="D297" s="779"/>
      <c r="E297" s="779"/>
      <c r="F297" s="779"/>
      <c r="G297" s="779"/>
      <c r="H297" s="779"/>
      <c r="I297" s="779"/>
      <c r="J297" s="780"/>
      <c r="K297" s="793">
        <f>IF(Y297=0,IF(FIO="","",0),"")</f>
      </c>
      <c r="L297" s="794"/>
      <c r="M297" s="794"/>
      <c r="N297" s="794"/>
      <c r="O297" s="795"/>
      <c r="P297" s="836"/>
      <c r="Q297" s="837"/>
      <c r="R297" s="837"/>
      <c r="S297" s="838"/>
      <c r="T297" s="836"/>
      <c r="U297" s="837"/>
      <c r="V297" s="837"/>
      <c r="W297" s="838"/>
      <c r="X297" s="429"/>
      <c r="Y297" s="855">
        <f>MAX(P297:W300)</f>
        <v>0</v>
      </c>
      <c r="AB297" s="5" t="s">
        <v>293</v>
      </c>
      <c r="AH297" s="363"/>
    </row>
    <row r="298" spans="1:34" ht="12.75">
      <c r="A298" s="791"/>
      <c r="B298" s="781"/>
      <c r="C298" s="782"/>
      <c r="D298" s="782"/>
      <c r="E298" s="782"/>
      <c r="F298" s="782"/>
      <c r="G298" s="782"/>
      <c r="H298" s="782"/>
      <c r="I298" s="782"/>
      <c r="J298" s="783"/>
      <c r="K298" s="796"/>
      <c r="L298" s="797"/>
      <c r="M298" s="797"/>
      <c r="N298" s="797"/>
      <c r="O298" s="798"/>
      <c r="P298" s="839"/>
      <c r="Q298" s="840"/>
      <c r="R298" s="840"/>
      <c r="S298" s="841"/>
      <c r="T298" s="839"/>
      <c r="U298" s="840"/>
      <c r="V298" s="840"/>
      <c r="W298" s="841"/>
      <c r="X298" s="429"/>
      <c r="Y298" s="855"/>
      <c r="AH298" s="363"/>
    </row>
    <row r="299" spans="1:34" ht="3.75" customHeight="1">
      <c r="A299" s="791"/>
      <c r="B299" s="781"/>
      <c r="C299" s="782"/>
      <c r="D299" s="782"/>
      <c r="E299" s="782"/>
      <c r="F299" s="782"/>
      <c r="G299" s="782"/>
      <c r="H299" s="782"/>
      <c r="I299" s="782"/>
      <c r="J299" s="783"/>
      <c r="K299" s="796"/>
      <c r="L299" s="797"/>
      <c r="M299" s="797"/>
      <c r="N299" s="797"/>
      <c r="O299" s="798"/>
      <c r="P299" s="839"/>
      <c r="Q299" s="840"/>
      <c r="R299" s="840"/>
      <c r="S299" s="841"/>
      <c r="T299" s="839"/>
      <c r="U299" s="840"/>
      <c r="V299" s="840"/>
      <c r="W299" s="841"/>
      <c r="X299" s="429"/>
      <c r="Y299" s="855"/>
      <c r="AH299" s="363"/>
    </row>
    <row r="300" spans="1:34" ht="3.75" customHeight="1">
      <c r="A300" s="792"/>
      <c r="B300" s="784"/>
      <c r="C300" s="785"/>
      <c r="D300" s="785"/>
      <c r="E300" s="785"/>
      <c r="F300" s="785"/>
      <c r="G300" s="785"/>
      <c r="H300" s="785"/>
      <c r="I300" s="785"/>
      <c r="J300" s="786"/>
      <c r="K300" s="799"/>
      <c r="L300" s="800"/>
      <c r="M300" s="800"/>
      <c r="N300" s="800"/>
      <c r="O300" s="801"/>
      <c r="P300" s="842"/>
      <c r="Q300" s="843"/>
      <c r="R300" s="843"/>
      <c r="S300" s="844"/>
      <c r="T300" s="842"/>
      <c r="U300" s="843"/>
      <c r="V300" s="843"/>
      <c r="W300" s="844"/>
      <c r="X300" s="429"/>
      <c r="Y300" s="855"/>
      <c r="AH300" s="363"/>
    </row>
    <row r="301" spans="1:34" ht="12.75">
      <c r="A301" s="790" t="s">
        <v>190</v>
      </c>
      <c r="B301" s="778" t="s">
        <v>724</v>
      </c>
      <c r="C301" s="779"/>
      <c r="D301" s="779"/>
      <c r="E301" s="779"/>
      <c r="F301" s="779"/>
      <c r="G301" s="779"/>
      <c r="H301" s="779"/>
      <c r="I301" s="779"/>
      <c r="J301" s="780"/>
      <c r="K301" s="793">
        <f>IF(Y301=0,IF(FIO="","",0),"")</f>
      </c>
      <c r="L301" s="794"/>
      <c r="M301" s="794"/>
      <c r="N301" s="794"/>
      <c r="O301" s="795"/>
      <c r="P301" s="836"/>
      <c r="Q301" s="837"/>
      <c r="R301" s="837"/>
      <c r="S301" s="838"/>
      <c r="T301" s="836"/>
      <c r="U301" s="837"/>
      <c r="V301" s="837"/>
      <c r="W301" s="838"/>
      <c r="X301" s="429"/>
      <c r="Y301" s="855">
        <f>MAX(P301:W304)</f>
        <v>0</v>
      </c>
      <c r="AH301" s="363"/>
    </row>
    <row r="302" spans="1:34" ht="12.75">
      <c r="A302" s="791"/>
      <c r="B302" s="781"/>
      <c r="C302" s="782"/>
      <c r="D302" s="782"/>
      <c r="E302" s="782"/>
      <c r="F302" s="782"/>
      <c r="G302" s="782"/>
      <c r="H302" s="782"/>
      <c r="I302" s="782"/>
      <c r="J302" s="783"/>
      <c r="K302" s="796"/>
      <c r="L302" s="797"/>
      <c r="M302" s="797"/>
      <c r="N302" s="797"/>
      <c r="O302" s="798"/>
      <c r="P302" s="839"/>
      <c r="Q302" s="840"/>
      <c r="R302" s="840"/>
      <c r="S302" s="841"/>
      <c r="T302" s="839"/>
      <c r="U302" s="840"/>
      <c r="V302" s="840"/>
      <c r="W302" s="841"/>
      <c r="X302" s="429"/>
      <c r="Y302" s="855"/>
      <c r="AH302" s="363"/>
    </row>
    <row r="303" spans="1:34" ht="12.75">
      <c r="A303" s="791"/>
      <c r="B303" s="781"/>
      <c r="C303" s="782"/>
      <c r="D303" s="782"/>
      <c r="E303" s="782"/>
      <c r="F303" s="782"/>
      <c r="G303" s="782"/>
      <c r="H303" s="782"/>
      <c r="I303" s="782"/>
      <c r="J303" s="783"/>
      <c r="K303" s="796"/>
      <c r="L303" s="797"/>
      <c r="M303" s="797"/>
      <c r="N303" s="797"/>
      <c r="O303" s="798"/>
      <c r="P303" s="839"/>
      <c r="Q303" s="840"/>
      <c r="R303" s="840"/>
      <c r="S303" s="841"/>
      <c r="T303" s="839"/>
      <c r="U303" s="840"/>
      <c r="V303" s="840"/>
      <c r="W303" s="841"/>
      <c r="X303" s="429"/>
      <c r="Y303" s="855"/>
      <c r="AH303" s="363"/>
    </row>
    <row r="304" spans="1:34" ht="7.5" customHeight="1">
      <c r="A304" s="792"/>
      <c r="B304" s="784"/>
      <c r="C304" s="785"/>
      <c r="D304" s="785"/>
      <c r="E304" s="785"/>
      <c r="F304" s="785"/>
      <c r="G304" s="785"/>
      <c r="H304" s="785"/>
      <c r="I304" s="785"/>
      <c r="J304" s="786"/>
      <c r="K304" s="799"/>
      <c r="L304" s="800"/>
      <c r="M304" s="800"/>
      <c r="N304" s="800"/>
      <c r="O304" s="801"/>
      <c r="P304" s="842"/>
      <c r="Q304" s="843"/>
      <c r="R304" s="843"/>
      <c r="S304" s="844"/>
      <c r="T304" s="842"/>
      <c r="U304" s="843"/>
      <c r="V304" s="843"/>
      <c r="W304" s="844"/>
      <c r="X304" s="429"/>
      <c r="Y304" s="855"/>
      <c r="AH304" s="363"/>
    </row>
    <row r="305" spans="1:34" ht="12.75" customHeight="1">
      <c r="A305" s="790" t="s">
        <v>191</v>
      </c>
      <c r="B305" s="778" t="s">
        <v>223</v>
      </c>
      <c r="C305" s="779"/>
      <c r="D305" s="779"/>
      <c r="E305" s="779"/>
      <c r="F305" s="779"/>
      <c r="G305" s="779"/>
      <c r="H305" s="779"/>
      <c r="I305" s="779"/>
      <c r="J305" s="780"/>
      <c r="K305" s="793">
        <f>IF(Y305=0,IF(FIO="","",0),"")</f>
      </c>
      <c r="L305" s="794"/>
      <c r="M305" s="794"/>
      <c r="N305" s="794"/>
      <c r="O305" s="795"/>
      <c r="P305" s="836"/>
      <c r="Q305" s="837"/>
      <c r="R305" s="837"/>
      <c r="S305" s="838"/>
      <c r="T305" s="836"/>
      <c r="U305" s="837"/>
      <c r="V305" s="837"/>
      <c r="W305" s="838"/>
      <c r="X305" s="429"/>
      <c r="Y305" s="855">
        <f>MAX(P305:W308)</f>
        <v>0</v>
      </c>
      <c r="AH305" s="363"/>
    </row>
    <row r="306" spans="1:34" ht="3" customHeight="1">
      <c r="A306" s="791"/>
      <c r="B306" s="781"/>
      <c r="C306" s="782"/>
      <c r="D306" s="782"/>
      <c r="E306" s="782"/>
      <c r="F306" s="782"/>
      <c r="G306" s="782"/>
      <c r="H306" s="782"/>
      <c r="I306" s="782"/>
      <c r="J306" s="783"/>
      <c r="K306" s="796"/>
      <c r="L306" s="797"/>
      <c r="M306" s="797"/>
      <c r="N306" s="797"/>
      <c r="O306" s="798"/>
      <c r="P306" s="839"/>
      <c r="Q306" s="840"/>
      <c r="R306" s="840"/>
      <c r="S306" s="841"/>
      <c r="T306" s="839"/>
      <c r="U306" s="840"/>
      <c r="V306" s="840"/>
      <c r="W306" s="841"/>
      <c r="X306" s="429"/>
      <c r="Y306" s="855"/>
      <c r="AH306" s="363"/>
    </row>
    <row r="307" spans="1:34" ht="3.75" customHeight="1">
      <c r="A307" s="791"/>
      <c r="B307" s="781"/>
      <c r="C307" s="782"/>
      <c r="D307" s="782"/>
      <c r="E307" s="782"/>
      <c r="F307" s="782"/>
      <c r="G307" s="782"/>
      <c r="H307" s="782"/>
      <c r="I307" s="782"/>
      <c r="J307" s="783"/>
      <c r="K307" s="796"/>
      <c r="L307" s="797"/>
      <c r="M307" s="797"/>
      <c r="N307" s="797"/>
      <c r="O307" s="798"/>
      <c r="P307" s="839"/>
      <c r="Q307" s="840"/>
      <c r="R307" s="840"/>
      <c r="S307" s="841"/>
      <c r="T307" s="839"/>
      <c r="U307" s="840"/>
      <c r="V307" s="840"/>
      <c r="W307" s="841"/>
      <c r="X307" s="429"/>
      <c r="Y307" s="855"/>
      <c r="AH307" s="363"/>
    </row>
    <row r="308" spans="1:34" ht="12.75">
      <c r="A308" s="792"/>
      <c r="B308" s="784"/>
      <c r="C308" s="785"/>
      <c r="D308" s="785"/>
      <c r="E308" s="785"/>
      <c r="F308" s="785"/>
      <c r="G308" s="785"/>
      <c r="H308" s="785"/>
      <c r="I308" s="785"/>
      <c r="J308" s="786"/>
      <c r="K308" s="799"/>
      <c r="L308" s="800"/>
      <c r="M308" s="800"/>
      <c r="N308" s="800"/>
      <c r="O308" s="801"/>
      <c r="P308" s="842"/>
      <c r="Q308" s="843"/>
      <c r="R308" s="843"/>
      <c r="S308" s="844"/>
      <c r="T308" s="842"/>
      <c r="U308" s="843"/>
      <c r="V308" s="843"/>
      <c r="W308" s="844"/>
      <c r="X308" s="429"/>
      <c r="Y308" s="855"/>
      <c r="AH308" s="363"/>
    </row>
    <row r="309" spans="1:34" ht="12.75" customHeight="1">
      <c r="A309" s="790" t="s">
        <v>723</v>
      </c>
      <c r="B309" s="778" t="s">
        <v>725</v>
      </c>
      <c r="C309" s="779"/>
      <c r="D309" s="779"/>
      <c r="E309" s="779"/>
      <c r="F309" s="779"/>
      <c r="G309" s="779"/>
      <c r="H309" s="779"/>
      <c r="I309" s="779"/>
      <c r="J309" s="780"/>
      <c r="K309" s="793">
        <f>IF(Y309=0,IF(FIO="","",0),"")</f>
      </c>
      <c r="L309" s="794"/>
      <c r="M309" s="794"/>
      <c r="N309" s="794"/>
      <c r="O309" s="795"/>
      <c r="P309" s="836"/>
      <c r="Q309" s="837"/>
      <c r="R309" s="837"/>
      <c r="S309" s="838"/>
      <c r="T309" s="836"/>
      <c r="U309" s="837"/>
      <c r="V309" s="837"/>
      <c r="W309" s="838"/>
      <c r="X309" s="429"/>
      <c r="Y309" s="855">
        <f>MAX(P309:W312)</f>
        <v>0</v>
      </c>
      <c r="AH309" s="363"/>
    </row>
    <row r="310" spans="1:34" ht="3" customHeight="1">
      <c r="A310" s="791"/>
      <c r="B310" s="781"/>
      <c r="C310" s="782"/>
      <c r="D310" s="782"/>
      <c r="E310" s="782"/>
      <c r="F310" s="782"/>
      <c r="G310" s="782"/>
      <c r="H310" s="782"/>
      <c r="I310" s="782"/>
      <c r="J310" s="783"/>
      <c r="K310" s="796"/>
      <c r="L310" s="797"/>
      <c r="M310" s="797"/>
      <c r="N310" s="797"/>
      <c r="O310" s="798"/>
      <c r="P310" s="839"/>
      <c r="Q310" s="840"/>
      <c r="R310" s="840"/>
      <c r="S310" s="841"/>
      <c r="T310" s="839"/>
      <c r="U310" s="840"/>
      <c r="V310" s="840"/>
      <c r="W310" s="841"/>
      <c r="X310" s="429"/>
      <c r="Y310" s="855"/>
      <c r="AH310" s="363"/>
    </row>
    <row r="311" spans="1:34" ht="3.75" customHeight="1">
      <c r="A311" s="791"/>
      <c r="B311" s="781"/>
      <c r="C311" s="782"/>
      <c r="D311" s="782"/>
      <c r="E311" s="782"/>
      <c r="F311" s="782"/>
      <c r="G311" s="782"/>
      <c r="H311" s="782"/>
      <c r="I311" s="782"/>
      <c r="J311" s="783"/>
      <c r="K311" s="796"/>
      <c r="L311" s="797"/>
      <c r="M311" s="797"/>
      <c r="N311" s="797"/>
      <c r="O311" s="798"/>
      <c r="P311" s="839"/>
      <c r="Q311" s="840"/>
      <c r="R311" s="840"/>
      <c r="S311" s="841"/>
      <c r="T311" s="839"/>
      <c r="U311" s="840"/>
      <c r="V311" s="840"/>
      <c r="W311" s="841"/>
      <c r="X311" s="429"/>
      <c r="Y311" s="855"/>
      <c r="AH311" s="363"/>
    </row>
    <row r="312" spans="1:34" ht="12.75">
      <c r="A312" s="792"/>
      <c r="B312" s="784"/>
      <c r="C312" s="785"/>
      <c r="D312" s="785"/>
      <c r="E312" s="785"/>
      <c r="F312" s="785"/>
      <c r="G312" s="785"/>
      <c r="H312" s="785"/>
      <c r="I312" s="785"/>
      <c r="J312" s="786"/>
      <c r="K312" s="799"/>
      <c r="L312" s="800"/>
      <c r="M312" s="800"/>
      <c r="N312" s="800"/>
      <c r="O312" s="801"/>
      <c r="P312" s="842"/>
      <c r="Q312" s="843"/>
      <c r="R312" s="843"/>
      <c r="S312" s="844"/>
      <c r="T312" s="842"/>
      <c r="U312" s="843"/>
      <c r="V312" s="843"/>
      <c r="W312" s="844"/>
      <c r="X312" s="429"/>
      <c r="Y312" s="855"/>
      <c r="AH312" s="363"/>
    </row>
    <row r="313" spans="1:34" ht="6.75" customHeight="1">
      <c r="A313" s="265"/>
      <c r="B313" s="215"/>
      <c r="C313" s="215"/>
      <c r="D313" s="215"/>
      <c r="E313" s="215"/>
      <c r="F313" s="12"/>
      <c r="G313" s="12"/>
      <c r="H313" s="12"/>
      <c r="I313" s="12"/>
      <c r="J313" s="12"/>
      <c r="K313" s="12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429"/>
      <c r="AH313" s="363"/>
    </row>
    <row r="314" spans="1:34" ht="12.75">
      <c r="A314" s="252" t="s">
        <v>224</v>
      </c>
      <c r="B314" s="294" t="s">
        <v>225</v>
      </c>
      <c r="X314" s="429"/>
      <c r="AH314" s="363"/>
    </row>
    <row r="315" spans="1:34" ht="12.75">
      <c r="A315" s="284" t="s">
        <v>226</v>
      </c>
      <c r="X315" s="429"/>
      <c r="AH315" s="363"/>
    </row>
    <row r="316" spans="1:34" ht="14.25">
      <c r="A316" s="1124" t="s">
        <v>203</v>
      </c>
      <c r="B316" s="975" t="s">
        <v>477</v>
      </c>
      <c r="C316" s="976"/>
      <c r="D316" s="976"/>
      <c r="E316" s="976"/>
      <c r="F316" s="976"/>
      <c r="G316" s="976"/>
      <c r="H316" s="976"/>
      <c r="I316" s="976"/>
      <c r="J316" s="977"/>
      <c r="K316" s="787" t="s">
        <v>216</v>
      </c>
      <c r="L316" s="788"/>
      <c r="M316" s="788"/>
      <c r="N316" s="788"/>
      <c r="O316" s="788"/>
      <c r="P316" s="788"/>
      <c r="Q316" s="788"/>
      <c r="R316" s="788"/>
      <c r="S316" s="788"/>
      <c r="T316" s="788"/>
      <c r="U316" s="788"/>
      <c r="V316" s="788"/>
      <c r="W316" s="789"/>
      <c r="X316" s="429"/>
      <c r="AH316" s="363"/>
    </row>
    <row r="317" spans="1:34" ht="12.75">
      <c r="A317" s="1124"/>
      <c r="B317" s="978"/>
      <c r="C317" s="979"/>
      <c r="D317" s="979"/>
      <c r="E317" s="979"/>
      <c r="F317" s="979"/>
      <c r="G317" s="979"/>
      <c r="H317" s="979"/>
      <c r="I317" s="979"/>
      <c r="J317" s="980"/>
      <c r="K317" s="833" t="s">
        <v>206</v>
      </c>
      <c r="L317" s="834"/>
      <c r="M317" s="834"/>
      <c r="N317" s="834"/>
      <c r="O317" s="834"/>
      <c r="P317" s="834"/>
      <c r="Q317" s="834"/>
      <c r="R317" s="834"/>
      <c r="S317" s="834"/>
      <c r="T317" s="834"/>
      <c r="U317" s="834"/>
      <c r="V317" s="834"/>
      <c r="W317" s="835"/>
      <c r="X317" s="429"/>
      <c r="AH317" s="363"/>
    </row>
    <row r="318" spans="1:34" ht="12.75">
      <c r="A318" s="1124"/>
      <c r="B318" s="978"/>
      <c r="C318" s="979"/>
      <c r="D318" s="979"/>
      <c r="E318" s="979"/>
      <c r="F318" s="979"/>
      <c r="G318" s="979"/>
      <c r="H318" s="979"/>
      <c r="I318" s="979"/>
      <c r="J318" s="980"/>
      <c r="K318" s="1002">
        <v>0</v>
      </c>
      <c r="L318" s="1002"/>
      <c r="M318" s="1002"/>
      <c r="N318" s="1002"/>
      <c r="O318" s="1002"/>
      <c r="P318" s="821">
        <v>10</v>
      </c>
      <c r="Q318" s="822"/>
      <c r="R318" s="822"/>
      <c r="S318" s="823"/>
      <c r="T318" s="821">
        <v>20</v>
      </c>
      <c r="U318" s="822"/>
      <c r="V318" s="822"/>
      <c r="W318" s="823"/>
      <c r="X318" s="429"/>
      <c r="AH318" s="363"/>
    </row>
    <row r="319" spans="1:34" ht="12.75">
      <c r="A319" s="1124"/>
      <c r="B319" s="978"/>
      <c r="C319" s="979"/>
      <c r="D319" s="979"/>
      <c r="E319" s="979"/>
      <c r="F319" s="979"/>
      <c r="G319" s="979"/>
      <c r="H319" s="979"/>
      <c r="I319" s="979"/>
      <c r="J319" s="980"/>
      <c r="K319" s="802" t="s">
        <v>476</v>
      </c>
      <c r="L319" s="802"/>
      <c r="M319" s="802"/>
      <c r="N319" s="802"/>
      <c r="O319" s="802"/>
      <c r="P319" s="761" t="s">
        <v>295</v>
      </c>
      <c r="Q319" s="762"/>
      <c r="R319" s="762"/>
      <c r="S319" s="763"/>
      <c r="T319" s="761" t="s">
        <v>222</v>
      </c>
      <c r="U319" s="762"/>
      <c r="V319" s="762"/>
      <c r="W319" s="763"/>
      <c r="X319" s="429"/>
      <c r="AH319" s="363"/>
    </row>
    <row r="320" spans="1:34" ht="14.25" customHeight="1">
      <c r="A320" s="1124"/>
      <c r="B320" s="981" t="s">
        <v>478</v>
      </c>
      <c r="C320" s="982"/>
      <c r="D320" s="982"/>
      <c r="E320" s="982"/>
      <c r="F320" s="982"/>
      <c r="G320" s="982"/>
      <c r="H320" s="982"/>
      <c r="I320" s="982"/>
      <c r="J320" s="983"/>
      <c r="K320" s="802"/>
      <c r="L320" s="802"/>
      <c r="M320" s="802"/>
      <c r="N320" s="802"/>
      <c r="O320" s="802"/>
      <c r="P320" s="764"/>
      <c r="Q320" s="765"/>
      <c r="R320" s="765"/>
      <c r="S320" s="766"/>
      <c r="T320" s="764"/>
      <c r="U320" s="765"/>
      <c r="V320" s="765"/>
      <c r="W320" s="766"/>
      <c r="X320" s="429"/>
      <c r="AH320" s="363"/>
    </row>
    <row r="321" spans="1:34" ht="12.75">
      <c r="A321" s="1124"/>
      <c r="B321" s="981"/>
      <c r="C321" s="982"/>
      <c r="D321" s="982"/>
      <c r="E321" s="982"/>
      <c r="F321" s="982"/>
      <c r="G321" s="982"/>
      <c r="H321" s="982"/>
      <c r="I321" s="982"/>
      <c r="J321" s="983"/>
      <c r="K321" s="802"/>
      <c r="L321" s="802"/>
      <c r="M321" s="802"/>
      <c r="N321" s="802"/>
      <c r="O321" s="802"/>
      <c r="P321" s="764"/>
      <c r="Q321" s="765"/>
      <c r="R321" s="765"/>
      <c r="S321" s="766"/>
      <c r="T321" s="764"/>
      <c r="U321" s="765"/>
      <c r="V321" s="765"/>
      <c r="W321" s="766"/>
      <c r="X321" s="429"/>
      <c r="AH321" s="363"/>
    </row>
    <row r="322" spans="1:34" ht="3" customHeight="1">
      <c r="A322" s="1124"/>
      <c r="B322" s="984"/>
      <c r="C322" s="985"/>
      <c r="D322" s="985"/>
      <c r="E322" s="985"/>
      <c r="F322" s="985"/>
      <c r="G322" s="985"/>
      <c r="H322" s="985"/>
      <c r="I322" s="985"/>
      <c r="J322" s="986"/>
      <c r="K322" s="1093"/>
      <c r="L322" s="1093"/>
      <c r="M322" s="1093"/>
      <c r="N322" s="1093"/>
      <c r="O322" s="1093"/>
      <c r="P322" s="767"/>
      <c r="Q322" s="768"/>
      <c r="R322" s="768"/>
      <c r="S322" s="769"/>
      <c r="T322" s="764"/>
      <c r="U322" s="765"/>
      <c r="V322" s="765"/>
      <c r="W322" s="766"/>
      <c r="X322" s="429"/>
      <c r="AH322" s="363"/>
    </row>
    <row r="323" spans="1:34" ht="14.25" customHeight="1">
      <c r="A323" s="856" t="s">
        <v>187</v>
      </c>
      <c r="B323" s="859"/>
      <c r="C323" s="860"/>
      <c r="D323" s="860"/>
      <c r="E323" s="860"/>
      <c r="F323" s="860"/>
      <c r="G323" s="860"/>
      <c r="H323" s="860"/>
      <c r="I323" s="860"/>
      <c r="J323" s="861"/>
      <c r="K323" s="794">
        <f>IF(AND(FIO&lt;&gt;"",P323="",T323=""),0,IF(z_kateg="первая","Не заполнять  на первую кв.кат.!",""))</f>
      </c>
      <c r="L323" s="794"/>
      <c r="M323" s="794"/>
      <c r="N323" s="794"/>
      <c r="O323" s="795"/>
      <c r="P323" s="771"/>
      <c r="Q323" s="771"/>
      <c r="R323" s="771"/>
      <c r="S323" s="771"/>
      <c r="T323" s="836"/>
      <c r="U323" s="837"/>
      <c r="V323" s="837"/>
      <c r="W323" s="838"/>
      <c r="X323" s="429"/>
      <c r="Y323" s="855">
        <f>IF(z_kateg="первая",0,MAX(K323:W326))</f>
        <v>0</v>
      </c>
      <c r="Z323" s="240" t="s">
        <v>208</v>
      </c>
      <c r="AA323" s="241" t="s">
        <v>283</v>
      </c>
      <c r="AE323" s="279" t="s">
        <v>3</v>
      </c>
      <c r="AF323" s="280" t="s">
        <v>2</v>
      </c>
      <c r="AH323" s="363"/>
    </row>
    <row r="324" spans="1:34" ht="14.25" customHeight="1">
      <c r="A324" s="857"/>
      <c r="B324" s="862"/>
      <c r="C324" s="863"/>
      <c r="D324" s="863"/>
      <c r="E324" s="863"/>
      <c r="F324" s="863"/>
      <c r="G324" s="863"/>
      <c r="H324" s="863"/>
      <c r="I324" s="863"/>
      <c r="J324" s="864"/>
      <c r="K324" s="797"/>
      <c r="L324" s="797"/>
      <c r="M324" s="797"/>
      <c r="N324" s="797"/>
      <c r="O324" s="798"/>
      <c r="P324" s="771"/>
      <c r="Q324" s="771"/>
      <c r="R324" s="771"/>
      <c r="S324" s="771"/>
      <c r="T324" s="839"/>
      <c r="U324" s="840"/>
      <c r="V324" s="840"/>
      <c r="W324" s="841"/>
      <c r="X324" s="429"/>
      <c r="Y324" s="855"/>
      <c r="Z324" s="242">
        <v>40</v>
      </c>
      <c r="AA324" s="259">
        <f>IF(z_kateg="высшая",AE324,AF324)</f>
        <v>0</v>
      </c>
      <c r="AE324" s="275">
        <v>40</v>
      </c>
      <c r="AF324" s="276">
        <v>0</v>
      </c>
      <c r="AH324" s="363"/>
    </row>
    <row r="325" spans="1:34" ht="14.25" customHeight="1">
      <c r="A325" s="857"/>
      <c r="B325" s="862"/>
      <c r="C325" s="863"/>
      <c r="D325" s="863"/>
      <c r="E325" s="863"/>
      <c r="F325" s="863"/>
      <c r="G325" s="863"/>
      <c r="H325" s="863"/>
      <c r="I325" s="863"/>
      <c r="J325" s="864"/>
      <c r="K325" s="797"/>
      <c r="L325" s="797"/>
      <c r="M325" s="797"/>
      <c r="N325" s="797"/>
      <c r="O325" s="798"/>
      <c r="P325" s="771"/>
      <c r="Q325" s="771"/>
      <c r="R325" s="771"/>
      <c r="S325" s="771"/>
      <c r="T325" s="839"/>
      <c r="U325" s="840"/>
      <c r="V325" s="840"/>
      <c r="W325" s="841"/>
      <c r="X325" s="429"/>
      <c r="Y325" s="855"/>
      <c r="AH325" s="363"/>
    </row>
    <row r="326" spans="1:34" ht="12.75">
      <c r="A326" s="858"/>
      <c r="B326" s="865"/>
      <c r="C326" s="866"/>
      <c r="D326" s="866"/>
      <c r="E326" s="866"/>
      <c r="F326" s="866"/>
      <c r="G326" s="866"/>
      <c r="H326" s="866"/>
      <c r="I326" s="866"/>
      <c r="J326" s="867"/>
      <c r="K326" s="800"/>
      <c r="L326" s="800"/>
      <c r="M326" s="800"/>
      <c r="N326" s="800"/>
      <c r="O326" s="801"/>
      <c r="P326" s="771"/>
      <c r="Q326" s="771"/>
      <c r="R326" s="771"/>
      <c r="S326" s="771"/>
      <c r="T326" s="842"/>
      <c r="U326" s="843"/>
      <c r="V326" s="843"/>
      <c r="W326" s="844"/>
      <c r="X326" s="429"/>
      <c r="Y326" s="855"/>
      <c r="AH326" s="363"/>
    </row>
    <row r="327" spans="1:34" ht="14.25" customHeight="1">
      <c r="A327" s="790" t="s">
        <v>189</v>
      </c>
      <c r="B327" s="859"/>
      <c r="C327" s="860"/>
      <c r="D327" s="860"/>
      <c r="E327" s="860"/>
      <c r="F327" s="860"/>
      <c r="G327" s="860"/>
      <c r="H327" s="860"/>
      <c r="I327" s="860"/>
      <c r="J327" s="861"/>
      <c r="K327" s="794">
        <f>IF(AND(FIO&lt;&gt;"",P327="",T327=""),0,IF(z_kateg="первая","Не заполнять  на первую кв.кат.!",""))</f>
      </c>
      <c r="L327" s="794"/>
      <c r="M327" s="794"/>
      <c r="N327" s="794"/>
      <c r="O327" s="795"/>
      <c r="P327" s="771"/>
      <c r="Q327" s="771"/>
      <c r="R327" s="771"/>
      <c r="S327" s="771"/>
      <c r="T327" s="836"/>
      <c r="U327" s="837"/>
      <c r="V327" s="837"/>
      <c r="W327" s="838"/>
      <c r="X327" s="429"/>
      <c r="Y327" s="855">
        <f>IF(z_kateg="первая",0,MAX(K327:W330))</f>
        <v>0</v>
      </c>
      <c r="AH327" s="363"/>
    </row>
    <row r="328" spans="1:34" ht="14.25" customHeight="1">
      <c r="A328" s="791"/>
      <c r="B328" s="862"/>
      <c r="C328" s="863"/>
      <c r="D328" s="863"/>
      <c r="E328" s="863"/>
      <c r="F328" s="863"/>
      <c r="G328" s="863"/>
      <c r="H328" s="863"/>
      <c r="I328" s="863"/>
      <c r="J328" s="864"/>
      <c r="K328" s="797"/>
      <c r="L328" s="797"/>
      <c r="M328" s="797"/>
      <c r="N328" s="797"/>
      <c r="O328" s="798"/>
      <c r="P328" s="771"/>
      <c r="Q328" s="771"/>
      <c r="R328" s="771"/>
      <c r="S328" s="771"/>
      <c r="T328" s="839"/>
      <c r="U328" s="840"/>
      <c r="V328" s="840"/>
      <c r="W328" s="841"/>
      <c r="X328" s="429"/>
      <c r="Y328" s="855"/>
      <c r="AH328" s="363"/>
    </row>
    <row r="329" spans="1:34" ht="14.25" customHeight="1">
      <c r="A329" s="791"/>
      <c r="B329" s="862"/>
      <c r="C329" s="863"/>
      <c r="D329" s="863"/>
      <c r="E329" s="863"/>
      <c r="F329" s="863"/>
      <c r="G329" s="863"/>
      <c r="H329" s="863"/>
      <c r="I329" s="863"/>
      <c r="J329" s="864"/>
      <c r="K329" s="797"/>
      <c r="L329" s="797"/>
      <c r="M329" s="797"/>
      <c r="N329" s="797"/>
      <c r="O329" s="798"/>
      <c r="P329" s="771"/>
      <c r="Q329" s="771"/>
      <c r="R329" s="771"/>
      <c r="S329" s="771"/>
      <c r="T329" s="839"/>
      <c r="U329" s="840"/>
      <c r="V329" s="840"/>
      <c r="W329" s="841"/>
      <c r="X329" s="429"/>
      <c r="Y329" s="855"/>
      <c r="AH329" s="363"/>
    </row>
    <row r="330" spans="1:34" ht="12.75">
      <c r="A330" s="792"/>
      <c r="B330" s="865"/>
      <c r="C330" s="866"/>
      <c r="D330" s="866"/>
      <c r="E330" s="866"/>
      <c r="F330" s="866"/>
      <c r="G330" s="866"/>
      <c r="H330" s="866"/>
      <c r="I330" s="866"/>
      <c r="J330" s="867"/>
      <c r="K330" s="800"/>
      <c r="L330" s="800"/>
      <c r="M330" s="800"/>
      <c r="N330" s="800"/>
      <c r="O330" s="801"/>
      <c r="P330" s="771"/>
      <c r="Q330" s="771"/>
      <c r="R330" s="771"/>
      <c r="S330" s="771"/>
      <c r="T330" s="842"/>
      <c r="U330" s="843"/>
      <c r="V330" s="843"/>
      <c r="W330" s="844"/>
      <c r="X330" s="429"/>
      <c r="Y330" s="855"/>
      <c r="AH330" s="363"/>
    </row>
    <row r="331" spans="24:34" ht="6.75" customHeight="1">
      <c r="X331" s="429"/>
      <c r="AH331" s="363"/>
    </row>
    <row r="332" spans="1:34" ht="14.25">
      <c r="A332" s="252" t="s">
        <v>227</v>
      </c>
      <c r="B332" s="187" t="s">
        <v>228</v>
      </c>
      <c r="X332" s="429"/>
      <c r="AH332" s="363"/>
    </row>
    <row r="333" spans="1:34" ht="14.25">
      <c r="A333" s="803" t="s">
        <v>203</v>
      </c>
      <c r="B333" s="824" t="s">
        <v>204</v>
      </c>
      <c r="C333" s="825"/>
      <c r="D333" s="825"/>
      <c r="E333" s="825"/>
      <c r="F333" s="825"/>
      <c r="G333" s="825"/>
      <c r="H333" s="826"/>
      <c r="I333" s="787" t="s">
        <v>205</v>
      </c>
      <c r="J333" s="788"/>
      <c r="K333" s="788"/>
      <c r="L333" s="788"/>
      <c r="M333" s="788"/>
      <c r="N333" s="788"/>
      <c r="O333" s="788"/>
      <c r="P333" s="788"/>
      <c r="Q333" s="788"/>
      <c r="R333" s="788"/>
      <c r="S333" s="788"/>
      <c r="T333" s="788"/>
      <c r="U333" s="788"/>
      <c r="V333" s="788"/>
      <c r="W333" s="789"/>
      <c r="X333" s="429"/>
      <c r="AH333" s="363"/>
    </row>
    <row r="334" spans="1:34" ht="14.25" customHeight="1">
      <c r="A334" s="804"/>
      <c r="B334" s="827"/>
      <c r="C334" s="828"/>
      <c r="D334" s="828"/>
      <c r="E334" s="828"/>
      <c r="F334" s="828"/>
      <c r="G334" s="828"/>
      <c r="H334" s="829"/>
      <c r="I334" s="833" t="s">
        <v>206</v>
      </c>
      <c r="J334" s="834"/>
      <c r="K334" s="834"/>
      <c r="L334" s="834"/>
      <c r="M334" s="834"/>
      <c r="N334" s="834"/>
      <c r="O334" s="834"/>
      <c r="P334" s="834"/>
      <c r="Q334" s="834"/>
      <c r="R334" s="834"/>
      <c r="S334" s="834"/>
      <c r="T334" s="834"/>
      <c r="U334" s="834"/>
      <c r="V334" s="834"/>
      <c r="W334" s="835"/>
      <c r="X334" s="429"/>
      <c r="AH334" s="363"/>
    </row>
    <row r="335" spans="1:34" ht="14.25" customHeight="1">
      <c r="A335" s="805"/>
      <c r="B335" s="830"/>
      <c r="C335" s="831"/>
      <c r="D335" s="831"/>
      <c r="E335" s="831"/>
      <c r="F335" s="831"/>
      <c r="G335" s="831"/>
      <c r="H335" s="832"/>
      <c r="I335" s="821">
        <v>0</v>
      </c>
      <c r="J335" s="822"/>
      <c r="K335" s="822"/>
      <c r="L335" s="823"/>
      <c r="M335" s="821">
        <v>10</v>
      </c>
      <c r="N335" s="822"/>
      <c r="O335" s="822"/>
      <c r="P335" s="823"/>
      <c r="Q335" s="821" t="s">
        <v>726</v>
      </c>
      <c r="R335" s="822"/>
      <c r="S335" s="822"/>
      <c r="T335" s="822"/>
      <c r="U335" s="822"/>
      <c r="V335" s="822"/>
      <c r="W335" s="823"/>
      <c r="X335" s="429"/>
      <c r="AH335" s="363"/>
    </row>
    <row r="336" spans="1:34" ht="12.75" customHeight="1">
      <c r="A336" s="790" t="s">
        <v>230</v>
      </c>
      <c r="B336" s="880" t="s">
        <v>727</v>
      </c>
      <c r="C336" s="881"/>
      <c r="D336" s="881"/>
      <c r="E336" s="881"/>
      <c r="F336" s="881"/>
      <c r="G336" s="881"/>
      <c r="H336" s="882"/>
      <c r="I336" s="848" t="s">
        <v>231</v>
      </c>
      <c r="J336" s="849"/>
      <c r="K336" s="849"/>
      <c r="L336" s="850"/>
      <c r="M336" s="848" t="s">
        <v>232</v>
      </c>
      <c r="N336" s="849"/>
      <c r="O336" s="849"/>
      <c r="P336" s="850"/>
      <c r="Q336" s="848" t="s">
        <v>728</v>
      </c>
      <c r="R336" s="849"/>
      <c r="S336" s="849"/>
      <c r="T336" s="849"/>
      <c r="U336" s="849"/>
      <c r="V336" s="849"/>
      <c r="W336" s="850"/>
      <c r="X336" s="429"/>
      <c r="AH336" s="363"/>
    </row>
    <row r="337" spans="1:34" ht="12.75" customHeight="1">
      <c r="A337" s="791"/>
      <c r="B337" s="883"/>
      <c r="C337" s="884"/>
      <c r="D337" s="884"/>
      <c r="E337" s="884"/>
      <c r="F337" s="884"/>
      <c r="G337" s="884"/>
      <c r="H337" s="885"/>
      <c r="I337" s="848"/>
      <c r="J337" s="849"/>
      <c r="K337" s="849"/>
      <c r="L337" s="850"/>
      <c r="M337" s="848"/>
      <c r="N337" s="849"/>
      <c r="O337" s="849"/>
      <c r="P337" s="850"/>
      <c r="Q337" s="848" t="s">
        <v>729</v>
      </c>
      <c r="R337" s="849"/>
      <c r="S337" s="849"/>
      <c r="T337" s="849"/>
      <c r="U337" s="849"/>
      <c r="V337" s="849"/>
      <c r="W337" s="850"/>
      <c r="X337" s="429"/>
      <c r="AH337" s="363"/>
    </row>
    <row r="338" spans="1:34" ht="12.75" customHeight="1">
      <c r="A338" s="791"/>
      <c r="B338" s="883"/>
      <c r="C338" s="884"/>
      <c r="D338" s="884"/>
      <c r="E338" s="884"/>
      <c r="F338" s="884"/>
      <c r="G338" s="884"/>
      <c r="H338" s="885"/>
      <c r="I338" s="848"/>
      <c r="J338" s="849"/>
      <c r="K338" s="849"/>
      <c r="L338" s="850"/>
      <c r="M338" s="848"/>
      <c r="N338" s="849"/>
      <c r="O338" s="849"/>
      <c r="P338" s="850"/>
      <c r="Q338" s="848"/>
      <c r="R338" s="849"/>
      <c r="S338" s="849"/>
      <c r="T338" s="849"/>
      <c r="U338" s="849"/>
      <c r="V338" s="849"/>
      <c r="W338" s="850"/>
      <c r="X338" s="429"/>
      <c r="AH338" s="363"/>
    </row>
    <row r="339" spans="1:34" ht="15" customHeight="1">
      <c r="A339" s="791"/>
      <c r="B339" s="883"/>
      <c r="C339" s="884"/>
      <c r="D339" s="884"/>
      <c r="E339" s="884"/>
      <c r="F339" s="884"/>
      <c r="G339" s="884"/>
      <c r="H339" s="885"/>
      <c r="I339" s="848"/>
      <c r="J339" s="849"/>
      <c r="K339" s="849"/>
      <c r="L339" s="850"/>
      <c r="M339" s="848"/>
      <c r="N339" s="849"/>
      <c r="O339" s="849"/>
      <c r="P339" s="850"/>
      <c r="Q339" s="848"/>
      <c r="R339" s="849"/>
      <c r="S339" s="849"/>
      <c r="T339" s="849"/>
      <c r="U339" s="849"/>
      <c r="V339" s="849"/>
      <c r="W339" s="850"/>
      <c r="X339" s="429"/>
      <c r="AH339" s="363"/>
    </row>
    <row r="340" spans="1:34" ht="12.75" customHeight="1">
      <c r="A340" s="791"/>
      <c r="B340" s="883"/>
      <c r="C340" s="884"/>
      <c r="D340" s="884"/>
      <c r="E340" s="884"/>
      <c r="F340" s="884"/>
      <c r="G340" s="884"/>
      <c r="H340" s="885"/>
      <c r="I340" s="848"/>
      <c r="J340" s="849"/>
      <c r="K340" s="849"/>
      <c r="L340" s="850"/>
      <c r="M340" s="848"/>
      <c r="N340" s="849"/>
      <c r="O340" s="849"/>
      <c r="P340" s="850"/>
      <c r="Q340" s="915" t="s">
        <v>730</v>
      </c>
      <c r="R340" s="916"/>
      <c r="S340" s="916"/>
      <c r="T340" s="916"/>
      <c r="U340" s="916"/>
      <c r="V340" s="916"/>
      <c r="W340" s="917"/>
      <c r="X340" s="429"/>
      <c r="AH340" s="363"/>
    </row>
    <row r="341" spans="1:34" ht="15.75" customHeight="1">
      <c r="A341" s="791"/>
      <c r="B341" s="883"/>
      <c r="C341" s="884"/>
      <c r="D341" s="884"/>
      <c r="E341" s="884"/>
      <c r="F341" s="884"/>
      <c r="G341" s="884"/>
      <c r="H341" s="885"/>
      <c r="I341" s="851"/>
      <c r="J341" s="852"/>
      <c r="K341" s="852"/>
      <c r="L341" s="853"/>
      <c r="M341" s="851"/>
      <c r="N341" s="852"/>
      <c r="O341" s="852"/>
      <c r="P341" s="853"/>
      <c r="Q341" s="918" t="s">
        <v>731</v>
      </c>
      <c r="R341" s="919"/>
      <c r="S341" s="919"/>
      <c r="T341" s="919"/>
      <c r="U341" s="919"/>
      <c r="V341" s="919"/>
      <c r="W341" s="920"/>
      <c r="X341" s="429"/>
      <c r="Y341" s="12"/>
      <c r="Z341" s="232"/>
      <c r="AA341" s="268"/>
      <c r="AB341" s="268"/>
      <c r="AC341" s="12"/>
      <c r="AD341" s="12"/>
      <c r="AE341" s="12"/>
      <c r="AH341" s="363"/>
    </row>
    <row r="342" spans="1:34" ht="12.75" customHeight="1">
      <c r="A342" s="791"/>
      <c r="B342" s="883"/>
      <c r="C342" s="884"/>
      <c r="D342" s="884"/>
      <c r="E342" s="884"/>
      <c r="F342" s="884"/>
      <c r="G342" s="884"/>
      <c r="H342" s="885"/>
      <c r="I342" s="793">
        <f>IF(Y343=0,IF(FIO="","",0),"")</f>
      </c>
      <c r="J342" s="794"/>
      <c r="K342" s="794"/>
      <c r="L342" s="795"/>
      <c r="M342" s="772"/>
      <c r="N342" s="773"/>
      <c r="O342" s="773"/>
      <c r="P342" s="774"/>
      <c r="Q342" s="921"/>
      <c r="R342" s="922"/>
      <c r="S342" s="922"/>
      <c r="T342" s="922"/>
      <c r="U342" s="922"/>
      <c r="V342" s="922"/>
      <c r="W342" s="923"/>
      <c r="X342" s="429"/>
      <c r="Z342" s="240" t="s">
        <v>208</v>
      </c>
      <c r="AA342" s="241" t="s">
        <v>283</v>
      </c>
      <c r="AE342" s="279" t="s">
        <v>3</v>
      </c>
      <c r="AF342" s="280" t="s">
        <v>2</v>
      </c>
      <c r="AH342" s="363"/>
    </row>
    <row r="343" spans="1:34" ht="12.75" customHeight="1">
      <c r="A343" s="792"/>
      <c r="B343" s="886"/>
      <c r="C343" s="887"/>
      <c r="D343" s="887"/>
      <c r="E343" s="887"/>
      <c r="F343" s="887"/>
      <c r="G343" s="887"/>
      <c r="H343" s="888"/>
      <c r="I343" s="799"/>
      <c r="J343" s="800"/>
      <c r="K343" s="800"/>
      <c r="L343" s="801"/>
      <c r="M343" s="775"/>
      <c r="N343" s="776"/>
      <c r="O343" s="776"/>
      <c r="P343" s="777"/>
      <c r="Q343" s="775"/>
      <c r="R343" s="776"/>
      <c r="S343" s="776"/>
      <c r="T343" s="776"/>
      <c r="U343" s="776"/>
      <c r="V343" s="776"/>
      <c r="W343" s="777"/>
      <c r="X343" s="429"/>
      <c r="Y343" s="256">
        <f>MAX(M342:W343)</f>
        <v>0</v>
      </c>
      <c r="Z343" s="242">
        <v>30</v>
      </c>
      <c r="AA343" s="259">
        <v>10</v>
      </c>
      <c r="AE343" s="275">
        <v>20</v>
      </c>
      <c r="AF343" s="276">
        <v>10</v>
      </c>
      <c r="AH343" s="363"/>
    </row>
    <row r="344" spans="1:34" ht="14.25">
      <c r="A344" s="803" t="s">
        <v>203</v>
      </c>
      <c r="B344" s="824" t="s">
        <v>204</v>
      </c>
      <c r="C344" s="825"/>
      <c r="D344" s="825"/>
      <c r="E344" s="825"/>
      <c r="F344" s="787" t="s">
        <v>205</v>
      </c>
      <c r="G344" s="788"/>
      <c r="H344" s="788"/>
      <c r="I344" s="788"/>
      <c r="J344" s="788"/>
      <c r="K344" s="788"/>
      <c r="L344" s="788"/>
      <c r="M344" s="788"/>
      <c r="N344" s="788"/>
      <c r="O344" s="788"/>
      <c r="P344" s="788"/>
      <c r="Q344" s="788"/>
      <c r="R344" s="788"/>
      <c r="S344" s="788"/>
      <c r="T344" s="788"/>
      <c r="U344" s="788"/>
      <c r="V344" s="788"/>
      <c r="W344" s="789"/>
      <c r="X344" s="429"/>
      <c r="Y344" s="12"/>
      <c r="AA344" s="12"/>
      <c r="AC344" s="12"/>
      <c r="AE344" s="12"/>
      <c r="AH344" s="363"/>
    </row>
    <row r="345" spans="1:34" ht="14.25" customHeight="1">
      <c r="A345" s="804"/>
      <c r="B345" s="827"/>
      <c r="C345" s="828"/>
      <c r="D345" s="828"/>
      <c r="E345" s="828"/>
      <c r="F345" s="833" t="s">
        <v>210</v>
      </c>
      <c r="G345" s="834"/>
      <c r="H345" s="834"/>
      <c r="I345" s="834"/>
      <c r="J345" s="834"/>
      <c r="K345" s="834"/>
      <c r="L345" s="834"/>
      <c r="M345" s="834"/>
      <c r="N345" s="834"/>
      <c r="O345" s="834"/>
      <c r="P345" s="834"/>
      <c r="Q345" s="834"/>
      <c r="R345" s="834"/>
      <c r="S345" s="834"/>
      <c r="T345" s="834"/>
      <c r="U345" s="834"/>
      <c r="V345" s="834"/>
      <c r="W345" s="835"/>
      <c r="X345" s="429"/>
      <c r="Y345" s="12"/>
      <c r="Z345" s="12"/>
      <c r="AA345" s="12"/>
      <c r="AB345" s="12"/>
      <c r="AC345" s="12"/>
      <c r="AD345" s="12"/>
      <c r="AE345" s="12"/>
      <c r="AH345" s="363"/>
    </row>
    <row r="346" spans="1:34" ht="14.25" customHeight="1">
      <c r="A346" s="805"/>
      <c r="B346" s="827"/>
      <c r="C346" s="828"/>
      <c r="D346" s="828"/>
      <c r="E346" s="828"/>
      <c r="F346" s="821">
        <v>0</v>
      </c>
      <c r="G346" s="822"/>
      <c r="H346" s="823"/>
      <c r="I346" s="972">
        <v>10</v>
      </c>
      <c r="J346" s="973"/>
      <c r="K346" s="974"/>
      <c r="L346" s="972" t="s">
        <v>270</v>
      </c>
      <c r="M346" s="973"/>
      <c r="N346" s="973"/>
      <c r="O346" s="974"/>
      <c r="P346" s="972" t="s">
        <v>528</v>
      </c>
      <c r="Q346" s="973"/>
      <c r="R346" s="973"/>
      <c r="S346" s="974"/>
      <c r="T346" s="972" t="s">
        <v>529</v>
      </c>
      <c r="U346" s="973"/>
      <c r="V346" s="973"/>
      <c r="W346" s="974"/>
      <c r="X346" s="429"/>
      <c r="Y346" s="12"/>
      <c r="Z346" s="12"/>
      <c r="AA346" s="12"/>
      <c r="AB346" s="12"/>
      <c r="AC346" s="12"/>
      <c r="AD346" s="12"/>
      <c r="AE346" s="12"/>
      <c r="AH346" s="363"/>
    </row>
    <row r="347" spans="1:34" ht="12.75" customHeight="1">
      <c r="A347" s="790" t="s">
        <v>234</v>
      </c>
      <c r="B347" s="778" t="s">
        <v>530</v>
      </c>
      <c r="C347" s="779"/>
      <c r="D347" s="779"/>
      <c r="E347" s="780"/>
      <c r="F347" s="761" t="s">
        <v>291</v>
      </c>
      <c r="G347" s="762"/>
      <c r="H347" s="763"/>
      <c r="I347" s="761" t="s">
        <v>423</v>
      </c>
      <c r="J347" s="762"/>
      <c r="K347" s="763"/>
      <c r="L347" s="761" t="s">
        <v>420</v>
      </c>
      <c r="M347" s="762"/>
      <c r="N347" s="762"/>
      <c r="O347" s="763"/>
      <c r="P347" s="761" t="s">
        <v>422</v>
      </c>
      <c r="Q347" s="762"/>
      <c r="R347" s="762"/>
      <c r="S347" s="763"/>
      <c r="T347" s="761" t="s">
        <v>421</v>
      </c>
      <c r="U347" s="762"/>
      <c r="V347" s="762"/>
      <c r="W347" s="763"/>
      <c r="X347" s="429"/>
      <c r="Y347" s="12"/>
      <c r="AA347" s="12"/>
      <c r="AB347" s="12"/>
      <c r="AC347" s="12"/>
      <c r="AH347" s="363"/>
    </row>
    <row r="348" spans="1:34" ht="12.75" customHeight="1">
      <c r="A348" s="791"/>
      <c r="B348" s="781"/>
      <c r="C348" s="782"/>
      <c r="D348" s="782"/>
      <c r="E348" s="783"/>
      <c r="F348" s="764"/>
      <c r="G348" s="765"/>
      <c r="H348" s="766"/>
      <c r="I348" s="764"/>
      <c r="J348" s="765"/>
      <c r="K348" s="766"/>
      <c r="L348" s="764"/>
      <c r="M348" s="765"/>
      <c r="N348" s="765"/>
      <c r="O348" s="766"/>
      <c r="P348" s="764"/>
      <c r="Q348" s="765"/>
      <c r="R348" s="765"/>
      <c r="S348" s="766"/>
      <c r="T348" s="764"/>
      <c r="U348" s="765"/>
      <c r="V348" s="765"/>
      <c r="W348" s="766"/>
      <c r="X348" s="429"/>
      <c r="Y348" s="12"/>
      <c r="AA348" s="12"/>
      <c r="AB348" s="12"/>
      <c r="AC348" s="12"/>
      <c r="AH348" s="363"/>
    </row>
    <row r="349" spans="1:34" ht="23.25" customHeight="1">
      <c r="A349" s="791"/>
      <c r="B349" s="781"/>
      <c r="C349" s="782"/>
      <c r="D349" s="782"/>
      <c r="E349" s="783"/>
      <c r="F349" s="764"/>
      <c r="G349" s="765"/>
      <c r="H349" s="766"/>
      <c r="I349" s="764"/>
      <c r="J349" s="765"/>
      <c r="K349" s="766"/>
      <c r="L349" s="764"/>
      <c r="M349" s="765"/>
      <c r="N349" s="765"/>
      <c r="O349" s="766"/>
      <c r="P349" s="764"/>
      <c r="Q349" s="765"/>
      <c r="R349" s="765"/>
      <c r="S349" s="766"/>
      <c r="T349" s="764"/>
      <c r="U349" s="765"/>
      <c r="V349" s="765"/>
      <c r="W349" s="766"/>
      <c r="X349" s="429"/>
      <c r="Y349" s="12"/>
      <c r="AA349" s="12"/>
      <c r="AB349" s="12"/>
      <c r="AC349" s="12"/>
      <c r="AH349" s="363"/>
    </row>
    <row r="350" spans="1:34" ht="21.75" customHeight="1">
      <c r="A350" s="791"/>
      <c r="B350" s="781"/>
      <c r="C350" s="782"/>
      <c r="D350" s="782"/>
      <c r="E350" s="783"/>
      <c r="F350" s="947"/>
      <c r="G350" s="948"/>
      <c r="H350" s="949"/>
      <c r="I350" s="935"/>
      <c r="J350" s="936"/>
      <c r="K350" s="937"/>
      <c r="L350" s="999" t="s">
        <v>297</v>
      </c>
      <c r="M350" s="1000"/>
      <c r="N350" s="1000"/>
      <c r="O350" s="1000"/>
      <c r="P350" s="999" t="s">
        <v>299</v>
      </c>
      <c r="Q350" s="1000"/>
      <c r="R350" s="1000"/>
      <c r="S350" s="1000"/>
      <c r="T350" s="999" t="s">
        <v>301</v>
      </c>
      <c r="U350" s="1000"/>
      <c r="V350" s="1000"/>
      <c r="W350" s="1001"/>
      <c r="X350" s="429"/>
      <c r="Y350" s="12"/>
      <c r="AH350" s="363"/>
    </row>
    <row r="351" spans="1:34" ht="17.25" customHeight="1">
      <c r="A351" s="791"/>
      <c r="B351" s="781"/>
      <c r="C351" s="782"/>
      <c r="D351" s="782"/>
      <c r="E351" s="783"/>
      <c r="F351" s="950"/>
      <c r="G351" s="951"/>
      <c r="H351" s="952"/>
      <c r="I351" s="935"/>
      <c r="J351" s="936"/>
      <c r="K351" s="937"/>
      <c r="L351" s="996" t="s">
        <v>298</v>
      </c>
      <c r="M351" s="997"/>
      <c r="N351" s="997"/>
      <c r="O351" s="997"/>
      <c r="P351" s="996" t="s">
        <v>300</v>
      </c>
      <c r="Q351" s="997"/>
      <c r="R351" s="997"/>
      <c r="S351" s="997"/>
      <c r="T351" s="996" t="s">
        <v>287</v>
      </c>
      <c r="U351" s="997"/>
      <c r="V351" s="997"/>
      <c r="W351" s="998"/>
      <c r="X351" s="429"/>
      <c r="Y351" s="12"/>
      <c r="AH351" s="363"/>
    </row>
    <row r="352" spans="1:34" ht="12.75" customHeight="1">
      <c r="A352" s="791"/>
      <c r="B352" s="781"/>
      <c r="C352" s="782"/>
      <c r="D352" s="782"/>
      <c r="E352" s="783"/>
      <c r="F352" s="793">
        <f>IF(Y353=0,IF(FIO="","",0),"")</f>
      </c>
      <c r="G352" s="910"/>
      <c r="H352" s="911"/>
      <c r="I352" s="772"/>
      <c r="J352" s="773"/>
      <c r="K352" s="774"/>
      <c r="L352" s="771"/>
      <c r="M352" s="771"/>
      <c r="N352" s="771"/>
      <c r="O352" s="771"/>
      <c r="P352" s="771"/>
      <c r="Q352" s="771"/>
      <c r="R352" s="771"/>
      <c r="S352" s="771"/>
      <c r="T352" s="771"/>
      <c r="U352" s="771"/>
      <c r="V352" s="771"/>
      <c r="W352" s="771"/>
      <c r="X352" s="429"/>
      <c r="Z352" s="240" t="s">
        <v>208</v>
      </c>
      <c r="AA352" s="241" t="s">
        <v>283</v>
      </c>
      <c r="AE352" s="279" t="s">
        <v>3</v>
      </c>
      <c r="AF352" s="280" t="s">
        <v>2</v>
      </c>
      <c r="AH352" s="363"/>
    </row>
    <row r="353" spans="1:34" ht="12.75" customHeight="1">
      <c r="A353" s="792"/>
      <c r="B353" s="987" t="s">
        <v>320</v>
      </c>
      <c r="C353" s="988"/>
      <c r="D353" s="988"/>
      <c r="E353" s="989"/>
      <c r="F353" s="993"/>
      <c r="G353" s="994"/>
      <c r="H353" s="995"/>
      <c r="I353" s="775"/>
      <c r="J353" s="776"/>
      <c r="K353" s="777"/>
      <c r="L353" s="771"/>
      <c r="M353" s="771"/>
      <c r="N353" s="771"/>
      <c r="O353" s="771"/>
      <c r="P353" s="771"/>
      <c r="Q353" s="771"/>
      <c r="R353" s="771"/>
      <c r="S353" s="771"/>
      <c r="T353" s="771"/>
      <c r="U353" s="771"/>
      <c r="V353" s="771"/>
      <c r="W353" s="771"/>
      <c r="X353" s="429"/>
      <c r="Y353" s="256">
        <f>SUM(I352:W353)</f>
        <v>0</v>
      </c>
      <c r="Z353" s="242">
        <v>100</v>
      </c>
      <c r="AA353" s="259">
        <f>IF(z_kateg="высшая",AE353,AF353)</f>
        <v>10</v>
      </c>
      <c r="AE353" s="275">
        <v>20</v>
      </c>
      <c r="AF353" s="276">
        <v>10</v>
      </c>
      <c r="AH353" s="363"/>
    </row>
    <row r="354" spans="1:34" ht="12.75" customHeight="1">
      <c r="A354" s="790" t="s">
        <v>235</v>
      </c>
      <c r="B354" s="778" t="s">
        <v>732</v>
      </c>
      <c r="C354" s="779"/>
      <c r="D354" s="779"/>
      <c r="E354" s="780"/>
      <c r="F354" s="761" t="s">
        <v>291</v>
      </c>
      <c r="G354" s="762"/>
      <c r="H354" s="763"/>
      <c r="I354" s="761" t="s">
        <v>423</v>
      </c>
      <c r="J354" s="762"/>
      <c r="K354" s="763"/>
      <c r="L354" s="761" t="s">
        <v>733</v>
      </c>
      <c r="M354" s="762"/>
      <c r="N354" s="762"/>
      <c r="O354" s="763"/>
      <c r="P354" s="761" t="s">
        <v>422</v>
      </c>
      <c r="Q354" s="762"/>
      <c r="R354" s="762"/>
      <c r="S354" s="763"/>
      <c r="T354" s="761" t="s">
        <v>421</v>
      </c>
      <c r="U354" s="762"/>
      <c r="V354" s="762"/>
      <c r="W354" s="763"/>
      <c r="X354" s="429"/>
      <c r="Y354" s="12"/>
      <c r="AA354" s="12"/>
      <c r="AB354" s="12"/>
      <c r="AC354" s="12"/>
      <c r="AH354" s="363"/>
    </row>
    <row r="355" spans="1:34" ht="15.75" customHeight="1">
      <c r="A355" s="791"/>
      <c r="B355" s="781"/>
      <c r="C355" s="782"/>
      <c r="D355" s="782"/>
      <c r="E355" s="783"/>
      <c r="F355" s="764"/>
      <c r="G355" s="765"/>
      <c r="H355" s="766"/>
      <c r="I355" s="764"/>
      <c r="J355" s="765"/>
      <c r="K355" s="766"/>
      <c r="L355" s="764"/>
      <c r="M355" s="765"/>
      <c r="N355" s="765"/>
      <c r="O355" s="766"/>
      <c r="P355" s="764"/>
      <c r="Q355" s="765"/>
      <c r="R355" s="765"/>
      <c r="S355" s="766"/>
      <c r="T355" s="764"/>
      <c r="U355" s="765"/>
      <c r="V355" s="765"/>
      <c r="W355" s="766"/>
      <c r="X355" s="429"/>
      <c r="Y355" s="12"/>
      <c r="AA355" s="12"/>
      <c r="AB355" s="12"/>
      <c r="AC355" s="12"/>
      <c r="AH355" s="363"/>
    </row>
    <row r="356" spans="1:34" ht="12.75" customHeight="1">
      <c r="A356" s="791"/>
      <c r="B356" s="781"/>
      <c r="C356" s="782"/>
      <c r="D356" s="782"/>
      <c r="E356" s="783"/>
      <c r="F356" s="764"/>
      <c r="G356" s="765"/>
      <c r="H356" s="766"/>
      <c r="I356" s="764"/>
      <c r="J356" s="765"/>
      <c r="K356" s="766"/>
      <c r="L356" s="764"/>
      <c r="M356" s="765"/>
      <c r="N356" s="765"/>
      <c r="O356" s="766"/>
      <c r="P356" s="764"/>
      <c r="Q356" s="765"/>
      <c r="R356" s="765"/>
      <c r="S356" s="766"/>
      <c r="T356" s="764"/>
      <c r="U356" s="765"/>
      <c r="V356" s="765"/>
      <c r="W356" s="766"/>
      <c r="X356" s="429"/>
      <c r="Y356" s="12"/>
      <c r="AA356" s="12"/>
      <c r="AB356" s="12"/>
      <c r="AC356" s="12"/>
      <c r="AH356" s="363"/>
    </row>
    <row r="357" spans="1:34" ht="12.75" customHeight="1">
      <c r="A357" s="791"/>
      <c r="B357" s="781"/>
      <c r="C357" s="782"/>
      <c r="D357" s="782"/>
      <c r="E357" s="783"/>
      <c r="F357" s="947"/>
      <c r="G357" s="948"/>
      <c r="H357" s="949"/>
      <c r="I357" s="935"/>
      <c r="J357" s="936"/>
      <c r="K357" s="937"/>
      <c r="L357" s="999" t="s">
        <v>302</v>
      </c>
      <c r="M357" s="1000"/>
      <c r="N357" s="1000"/>
      <c r="O357" s="1001"/>
      <c r="P357" s="999" t="s">
        <v>303</v>
      </c>
      <c r="Q357" s="1000"/>
      <c r="R357" s="1000"/>
      <c r="S357" s="1001"/>
      <c r="T357" s="999" t="s">
        <v>431</v>
      </c>
      <c r="U357" s="1000"/>
      <c r="V357" s="1000"/>
      <c r="W357" s="1001"/>
      <c r="X357" s="429"/>
      <c r="Y357" s="12"/>
      <c r="AH357" s="363"/>
    </row>
    <row r="358" spans="1:34" ht="12.75" customHeight="1">
      <c r="A358" s="791"/>
      <c r="B358" s="781"/>
      <c r="C358" s="782"/>
      <c r="D358" s="782"/>
      <c r="E358" s="783"/>
      <c r="F358" s="950"/>
      <c r="G358" s="951"/>
      <c r="H358" s="952"/>
      <c r="I358" s="935"/>
      <c r="J358" s="936"/>
      <c r="K358" s="937"/>
      <c r="L358" s="996" t="s">
        <v>298</v>
      </c>
      <c r="M358" s="997"/>
      <c r="N358" s="997"/>
      <c r="O358" s="998"/>
      <c r="P358" s="996" t="s">
        <v>430</v>
      </c>
      <c r="Q358" s="997"/>
      <c r="R358" s="997"/>
      <c r="S358" s="998"/>
      <c r="T358" s="996" t="s">
        <v>432</v>
      </c>
      <c r="U358" s="997"/>
      <c r="V358" s="997"/>
      <c r="W358" s="998"/>
      <c r="X358" s="429"/>
      <c r="Y358" s="12"/>
      <c r="AH358" s="363"/>
    </row>
    <row r="359" spans="1:34" ht="12.75" customHeight="1">
      <c r="A359" s="791"/>
      <c r="B359" s="962" t="str">
        <f>B353</f>
        <v>(далее – Прил. № 4)</v>
      </c>
      <c r="C359" s="963"/>
      <c r="D359" s="963"/>
      <c r="E359" s="964"/>
      <c r="F359" s="793">
        <f>IF(Y360=0,IF(FIO="","",0),"")</f>
      </c>
      <c r="G359" s="910"/>
      <c r="H359" s="911"/>
      <c r="I359" s="772"/>
      <c r="J359" s="773"/>
      <c r="K359" s="774"/>
      <c r="L359" s="772"/>
      <c r="M359" s="773"/>
      <c r="N359" s="773"/>
      <c r="O359" s="774"/>
      <c r="P359" s="772"/>
      <c r="Q359" s="773"/>
      <c r="R359" s="773"/>
      <c r="S359" s="774"/>
      <c r="T359" s="772"/>
      <c r="U359" s="773"/>
      <c r="V359" s="773"/>
      <c r="W359" s="774"/>
      <c r="X359" s="429"/>
      <c r="Z359" s="240" t="s">
        <v>208</v>
      </c>
      <c r="AA359" s="241" t="s">
        <v>283</v>
      </c>
      <c r="AE359" s="279" t="s">
        <v>3</v>
      </c>
      <c r="AF359" s="280" t="s">
        <v>2</v>
      </c>
      <c r="AH359" s="363"/>
    </row>
    <row r="360" spans="1:34" ht="12.75" customHeight="1">
      <c r="A360" s="792"/>
      <c r="B360" s="965"/>
      <c r="C360" s="966"/>
      <c r="D360" s="966"/>
      <c r="E360" s="967"/>
      <c r="F360" s="993"/>
      <c r="G360" s="994"/>
      <c r="H360" s="995"/>
      <c r="I360" s="775"/>
      <c r="J360" s="776"/>
      <c r="K360" s="777"/>
      <c r="L360" s="775"/>
      <c r="M360" s="776"/>
      <c r="N360" s="776"/>
      <c r="O360" s="777"/>
      <c r="P360" s="775"/>
      <c r="Q360" s="776"/>
      <c r="R360" s="776"/>
      <c r="S360" s="777"/>
      <c r="T360" s="775"/>
      <c r="U360" s="776"/>
      <c r="V360" s="776"/>
      <c r="W360" s="777"/>
      <c r="X360" s="429"/>
      <c r="Y360" s="256">
        <f>SUM(I359:W360)</f>
        <v>0</v>
      </c>
      <c r="Z360" s="242">
        <v>120</v>
      </c>
      <c r="AA360" s="259">
        <f>IF(z_kateg="высшая",AE360,AF360)</f>
        <v>10</v>
      </c>
      <c r="AE360" s="275">
        <v>20</v>
      </c>
      <c r="AF360" s="276">
        <v>10</v>
      </c>
      <c r="AH360" s="363"/>
    </row>
    <row r="361" spans="1:34" ht="12.75" customHeight="1">
      <c r="A361" s="956" t="s">
        <v>236</v>
      </c>
      <c r="B361" s="778" t="s">
        <v>481</v>
      </c>
      <c r="C361" s="779"/>
      <c r="D361" s="779"/>
      <c r="E361" s="780"/>
      <c r="F361" s="761" t="s">
        <v>291</v>
      </c>
      <c r="G361" s="762"/>
      <c r="H361" s="763"/>
      <c r="I361" s="761" t="s">
        <v>423</v>
      </c>
      <c r="J361" s="762"/>
      <c r="K361" s="763"/>
      <c r="L361" s="761" t="s">
        <v>420</v>
      </c>
      <c r="M361" s="762"/>
      <c r="N361" s="762"/>
      <c r="O361" s="763"/>
      <c r="P361" s="761" t="s">
        <v>422</v>
      </c>
      <c r="Q361" s="762"/>
      <c r="R361" s="762"/>
      <c r="S361" s="763"/>
      <c r="T361" s="761" t="s">
        <v>421</v>
      </c>
      <c r="U361" s="762"/>
      <c r="V361" s="762"/>
      <c r="W361" s="763"/>
      <c r="X361" s="429"/>
      <c r="Y361" s="12"/>
      <c r="AA361" s="12"/>
      <c r="AB361" s="12"/>
      <c r="AC361" s="12"/>
      <c r="AH361" s="363"/>
    </row>
    <row r="362" spans="1:34" ht="12.75" customHeight="1">
      <c r="A362" s="957"/>
      <c r="B362" s="781"/>
      <c r="C362" s="782"/>
      <c r="D362" s="782"/>
      <c r="E362" s="783"/>
      <c r="F362" s="764"/>
      <c r="G362" s="765"/>
      <c r="H362" s="766"/>
      <c r="I362" s="764"/>
      <c r="J362" s="765"/>
      <c r="K362" s="766"/>
      <c r="L362" s="764"/>
      <c r="M362" s="765"/>
      <c r="N362" s="765"/>
      <c r="O362" s="766"/>
      <c r="P362" s="764"/>
      <c r="Q362" s="765"/>
      <c r="R362" s="765"/>
      <c r="S362" s="766"/>
      <c r="T362" s="764"/>
      <c r="U362" s="765"/>
      <c r="V362" s="765"/>
      <c r="W362" s="766"/>
      <c r="X362" s="429"/>
      <c r="Y362" s="12"/>
      <c r="AA362" s="12"/>
      <c r="AB362" s="12"/>
      <c r="AC362" s="12"/>
      <c r="AH362" s="363"/>
    </row>
    <row r="363" spans="1:34" ht="15" customHeight="1">
      <c r="A363" s="957"/>
      <c r="B363" s="781"/>
      <c r="C363" s="782"/>
      <c r="D363" s="782"/>
      <c r="E363" s="783"/>
      <c r="F363" s="764"/>
      <c r="G363" s="765"/>
      <c r="H363" s="766"/>
      <c r="I363" s="764"/>
      <c r="J363" s="765"/>
      <c r="K363" s="766"/>
      <c r="L363" s="764"/>
      <c r="M363" s="765"/>
      <c r="N363" s="765"/>
      <c r="O363" s="766"/>
      <c r="P363" s="764"/>
      <c r="Q363" s="765"/>
      <c r="R363" s="765"/>
      <c r="S363" s="766"/>
      <c r="T363" s="764"/>
      <c r="U363" s="765"/>
      <c r="V363" s="765"/>
      <c r="W363" s="766"/>
      <c r="X363" s="429"/>
      <c r="Y363" s="12"/>
      <c r="AA363" s="12"/>
      <c r="AB363" s="12"/>
      <c r="AC363" s="12"/>
      <c r="AH363" s="363"/>
    </row>
    <row r="364" spans="1:34" ht="13.5" customHeight="1">
      <c r="A364" s="957"/>
      <c r="B364" s="781"/>
      <c r="C364" s="782"/>
      <c r="D364" s="782"/>
      <c r="E364" s="783"/>
      <c r="F364" s="947"/>
      <c r="G364" s="948"/>
      <c r="H364" s="949"/>
      <c r="I364" s="935"/>
      <c r="J364" s="936"/>
      <c r="K364" s="937"/>
      <c r="L364" s="999" t="s">
        <v>304</v>
      </c>
      <c r="M364" s="1000"/>
      <c r="N364" s="1000"/>
      <c r="O364" s="1001"/>
      <c r="P364" s="999" t="s">
        <v>305</v>
      </c>
      <c r="Q364" s="1000"/>
      <c r="R364" s="1000"/>
      <c r="S364" s="1001"/>
      <c r="T364" s="999" t="s">
        <v>306</v>
      </c>
      <c r="U364" s="1000"/>
      <c r="V364" s="1000"/>
      <c r="W364" s="1001"/>
      <c r="X364" s="429"/>
      <c r="Y364" s="12"/>
      <c r="AH364" s="363"/>
    </row>
    <row r="365" spans="1:34" ht="15" customHeight="1">
      <c r="A365" s="957"/>
      <c r="B365" s="781"/>
      <c r="C365" s="782"/>
      <c r="D365" s="782"/>
      <c r="E365" s="783"/>
      <c r="F365" s="950"/>
      <c r="G365" s="951"/>
      <c r="H365" s="952"/>
      <c r="I365" s="935"/>
      <c r="J365" s="936"/>
      <c r="K365" s="937"/>
      <c r="L365" s="996" t="s">
        <v>298</v>
      </c>
      <c r="M365" s="997"/>
      <c r="N365" s="997"/>
      <c r="O365" s="998"/>
      <c r="P365" s="996" t="s">
        <v>300</v>
      </c>
      <c r="Q365" s="997"/>
      <c r="R365" s="997"/>
      <c r="S365" s="998"/>
      <c r="T365" s="996" t="s">
        <v>287</v>
      </c>
      <c r="U365" s="997"/>
      <c r="V365" s="997"/>
      <c r="W365" s="998"/>
      <c r="X365" s="429"/>
      <c r="Y365" s="12"/>
      <c r="AH365" s="363"/>
    </row>
    <row r="366" spans="1:34" ht="12.75" customHeight="1">
      <c r="A366" s="957"/>
      <c r="B366" s="781"/>
      <c r="C366" s="782"/>
      <c r="D366" s="782"/>
      <c r="E366" s="783"/>
      <c r="F366" s="793">
        <f>IF(Y367=0,IF(FIO="","",0),"")</f>
      </c>
      <c r="G366" s="910"/>
      <c r="H366" s="911"/>
      <c r="I366" s="772"/>
      <c r="J366" s="773"/>
      <c r="K366" s="774"/>
      <c r="L366" s="772"/>
      <c r="M366" s="773"/>
      <c r="N366" s="773"/>
      <c r="O366" s="774"/>
      <c r="P366" s="772"/>
      <c r="Q366" s="773"/>
      <c r="R366" s="773"/>
      <c r="S366" s="774"/>
      <c r="T366" s="772"/>
      <c r="U366" s="773"/>
      <c r="V366" s="773"/>
      <c r="W366" s="774"/>
      <c r="X366" s="429"/>
      <c r="Z366" s="240" t="s">
        <v>208</v>
      </c>
      <c r="AA366" s="241" t="s">
        <v>283</v>
      </c>
      <c r="AE366" s="279" t="s">
        <v>3</v>
      </c>
      <c r="AF366" s="280" t="s">
        <v>2</v>
      </c>
      <c r="AH366" s="363"/>
    </row>
    <row r="367" spans="1:34" ht="12.75" customHeight="1">
      <c r="A367" s="958"/>
      <c r="B367" s="965" t="str">
        <f>B353</f>
        <v>(далее – Прил. № 4)</v>
      </c>
      <c r="C367" s="966"/>
      <c r="D367" s="966"/>
      <c r="E367" s="967"/>
      <c r="F367" s="993"/>
      <c r="G367" s="994"/>
      <c r="H367" s="995"/>
      <c r="I367" s="775"/>
      <c r="J367" s="776"/>
      <c r="K367" s="777"/>
      <c r="L367" s="775"/>
      <c r="M367" s="776"/>
      <c r="N367" s="776"/>
      <c r="O367" s="777"/>
      <c r="P367" s="775"/>
      <c r="Q367" s="776"/>
      <c r="R367" s="776"/>
      <c r="S367" s="777"/>
      <c r="T367" s="775"/>
      <c r="U367" s="776"/>
      <c r="V367" s="776"/>
      <c r="W367" s="777"/>
      <c r="X367" s="429"/>
      <c r="Y367" s="256">
        <f>SUM(I366:W367)</f>
        <v>0</v>
      </c>
      <c r="Z367" s="242">
        <v>100</v>
      </c>
      <c r="AA367" s="259">
        <f>IF(z_kateg="высшая",AE367,AF367)</f>
        <v>0</v>
      </c>
      <c r="AE367" s="275">
        <v>10</v>
      </c>
      <c r="AF367" s="276">
        <v>0</v>
      </c>
      <c r="AH367" s="363"/>
    </row>
    <row r="368" spans="1:34" ht="14.25">
      <c r="A368" s="803" t="s">
        <v>203</v>
      </c>
      <c r="B368" s="824" t="s">
        <v>204</v>
      </c>
      <c r="C368" s="825"/>
      <c r="D368" s="825"/>
      <c r="E368" s="825"/>
      <c r="F368" s="787" t="s">
        <v>205</v>
      </c>
      <c r="G368" s="788"/>
      <c r="H368" s="788"/>
      <c r="I368" s="788"/>
      <c r="J368" s="788"/>
      <c r="K368" s="788"/>
      <c r="L368" s="788"/>
      <c r="M368" s="788"/>
      <c r="N368" s="788"/>
      <c r="O368" s="788"/>
      <c r="P368" s="788"/>
      <c r="Q368" s="788"/>
      <c r="R368" s="788"/>
      <c r="S368" s="788"/>
      <c r="T368" s="788"/>
      <c r="U368" s="788"/>
      <c r="V368" s="788"/>
      <c r="W368" s="789"/>
      <c r="X368" s="429"/>
      <c r="Y368" s="12"/>
      <c r="AH368" s="363"/>
    </row>
    <row r="369" spans="1:34" ht="12.75" customHeight="1">
      <c r="A369" s="804"/>
      <c r="B369" s="827"/>
      <c r="C369" s="828"/>
      <c r="D369" s="828"/>
      <c r="E369" s="828"/>
      <c r="F369" s="833" t="s">
        <v>210</v>
      </c>
      <c r="G369" s="834"/>
      <c r="H369" s="834"/>
      <c r="I369" s="834"/>
      <c r="J369" s="834"/>
      <c r="K369" s="834"/>
      <c r="L369" s="834"/>
      <c r="M369" s="834"/>
      <c r="N369" s="834"/>
      <c r="O369" s="834"/>
      <c r="P369" s="834"/>
      <c r="Q369" s="834"/>
      <c r="R369" s="834"/>
      <c r="S369" s="834"/>
      <c r="T369" s="834"/>
      <c r="U369" s="834"/>
      <c r="V369" s="834"/>
      <c r="W369" s="835"/>
      <c r="X369" s="429"/>
      <c r="AH369" s="363"/>
    </row>
    <row r="370" spans="1:34" ht="12.75" customHeight="1">
      <c r="A370" s="805"/>
      <c r="B370" s="830"/>
      <c r="C370" s="831"/>
      <c r="D370" s="831"/>
      <c r="E370" s="831"/>
      <c r="F370" s="1002">
        <v>0</v>
      </c>
      <c r="G370" s="1002"/>
      <c r="H370" s="1002"/>
      <c r="I370" s="1002">
        <v>10</v>
      </c>
      <c r="J370" s="1002"/>
      <c r="K370" s="1002"/>
      <c r="L370" s="1002"/>
      <c r="M370" s="1002"/>
      <c r="N370" s="1002"/>
      <c r="O370" s="1002"/>
      <c r="P370" s="821" t="s">
        <v>270</v>
      </c>
      <c r="Q370" s="822"/>
      <c r="R370" s="822"/>
      <c r="S370" s="822"/>
      <c r="T370" s="822"/>
      <c r="U370" s="822"/>
      <c r="V370" s="822"/>
      <c r="W370" s="823"/>
      <c r="X370" s="429"/>
      <c r="AH370" s="363"/>
    </row>
    <row r="371" spans="1:34" ht="15" customHeight="1">
      <c r="A371" s="790" t="s">
        <v>237</v>
      </c>
      <c r="B371" s="778" t="s">
        <v>532</v>
      </c>
      <c r="C371" s="779"/>
      <c r="D371" s="779"/>
      <c r="E371" s="780"/>
      <c r="F371" s="802" t="s">
        <v>307</v>
      </c>
      <c r="G371" s="802"/>
      <c r="H371" s="802"/>
      <c r="I371" s="802" t="s">
        <v>433</v>
      </c>
      <c r="J371" s="802"/>
      <c r="K371" s="802"/>
      <c r="L371" s="802"/>
      <c r="M371" s="802"/>
      <c r="N371" s="802"/>
      <c r="O371" s="802"/>
      <c r="P371" s="761" t="s">
        <v>457</v>
      </c>
      <c r="Q371" s="762"/>
      <c r="R371" s="762"/>
      <c r="S371" s="762"/>
      <c r="T371" s="762"/>
      <c r="U371" s="762"/>
      <c r="V371" s="762"/>
      <c r="W371" s="763"/>
      <c r="X371" s="429"/>
      <c r="Y371" s="12"/>
      <c r="AH371" s="363"/>
    </row>
    <row r="372" spans="1:34" ht="15" customHeight="1">
      <c r="A372" s="791"/>
      <c r="B372" s="781"/>
      <c r="C372" s="782"/>
      <c r="D372" s="782"/>
      <c r="E372" s="783"/>
      <c r="F372" s="802"/>
      <c r="G372" s="802"/>
      <c r="H372" s="802"/>
      <c r="I372" s="802"/>
      <c r="J372" s="802"/>
      <c r="K372" s="802"/>
      <c r="L372" s="802"/>
      <c r="M372" s="802"/>
      <c r="N372" s="802"/>
      <c r="O372" s="802"/>
      <c r="P372" s="764"/>
      <c r="Q372" s="765"/>
      <c r="R372" s="765"/>
      <c r="S372" s="765"/>
      <c r="T372" s="765"/>
      <c r="U372" s="765"/>
      <c r="V372" s="765"/>
      <c r="W372" s="766"/>
      <c r="X372" s="429"/>
      <c r="Y372" s="12"/>
      <c r="AH372" s="363"/>
    </row>
    <row r="373" spans="1:34" ht="15" customHeight="1">
      <c r="A373" s="791"/>
      <c r="B373" s="781"/>
      <c r="C373" s="782"/>
      <c r="D373" s="782"/>
      <c r="E373" s="783"/>
      <c r="F373" s="802"/>
      <c r="G373" s="802"/>
      <c r="H373" s="802"/>
      <c r="I373" s="802"/>
      <c r="J373" s="802"/>
      <c r="K373" s="802"/>
      <c r="L373" s="802"/>
      <c r="M373" s="802"/>
      <c r="N373" s="802"/>
      <c r="O373" s="802"/>
      <c r="P373" s="764"/>
      <c r="Q373" s="765"/>
      <c r="R373" s="765"/>
      <c r="S373" s="765"/>
      <c r="T373" s="765"/>
      <c r="U373" s="765"/>
      <c r="V373" s="765"/>
      <c r="W373" s="766"/>
      <c r="X373" s="429"/>
      <c r="Y373" s="12"/>
      <c r="AH373" s="363"/>
    </row>
    <row r="374" spans="1:34" ht="15" customHeight="1">
      <c r="A374" s="791"/>
      <c r="B374" s="781"/>
      <c r="C374" s="782"/>
      <c r="D374" s="782"/>
      <c r="E374" s="783"/>
      <c r="F374" s="802"/>
      <c r="G374" s="802"/>
      <c r="H374" s="802"/>
      <c r="I374" s="802"/>
      <c r="J374" s="802"/>
      <c r="K374" s="802"/>
      <c r="L374" s="802"/>
      <c r="M374" s="802"/>
      <c r="N374" s="802"/>
      <c r="O374" s="802"/>
      <c r="P374" s="764"/>
      <c r="Q374" s="765"/>
      <c r="R374" s="765"/>
      <c r="S374" s="765"/>
      <c r="T374" s="765"/>
      <c r="U374" s="765"/>
      <c r="V374" s="765"/>
      <c r="W374" s="766"/>
      <c r="X374" s="429"/>
      <c r="Y374" s="12"/>
      <c r="AH374" s="363"/>
    </row>
    <row r="375" spans="1:34" ht="1.5" customHeight="1">
      <c r="A375" s="791"/>
      <c r="B375" s="781"/>
      <c r="C375" s="782"/>
      <c r="D375" s="782"/>
      <c r="E375" s="783"/>
      <c r="F375" s="802"/>
      <c r="G375" s="802"/>
      <c r="H375" s="802"/>
      <c r="I375" s="802"/>
      <c r="J375" s="802"/>
      <c r="K375" s="802"/>
      <c r="L375" s="802"/>
      <c r="M375" s="802"/>
      <c r="N375" s="802"/>
      <c r="O375" s="802"/>
      <c r="P375" s="767"/>
      <c r="Q375" s="768"/>
      <c r="R375" s="768"/>
      <c r="S375" s="768"/>
      <c r="T375" s="768"/>
      <c r="U375" s="768"/>
      <c r="V375" s="768"/>
      <c r="W375" s="769"/>
      <c r="X375" s="429"/>
      <c r="Y375" s="12"/>
      <c r="AH375" s="363"/>
    </row>
    <row r="376" spans="1:34" ht="12.75" customHeight="1">
      <c r="A376" s="791"/>
      <c r="B376" s="962" t="str">
        <f>B353</f>
        <v>(далее – Прил. № 4)</v>
      </c>
      <c r="C376" s="963"/>
      <c r="D376" s="963"/>
      <c r="E376" s="964"/>
      <c r="F376" s="793">
        <f>IF(Y377=0,IF(FIO="","",0),"")</f>
      </c>
      <c r="G376" s="910"/>
      <c r="H376" s="911"/>
      <c r="I376" s="771"/>
      <c r="J376" s="771"/>
      <c r="K376" s="771"/>
      <c r="L376" s="771"/>
      <c r="M376" s="771"/>
      <c r="N376" s="771"/>
      <c r="O376" s="771"/>
      <c r="P376" s="772"/>
      <c r="Q376" s="773"/>
      <c r="R376" s="773"/>
      <c r="S376" s="773"/>
      <c r="T376" s="773"/>
      <c r="U376" s="773"/>
      <c r="V376" s="773"/>
      <c r="W376" s="774"/>
      <c r="X376" s="429"/>
      <c r="Z376" s="240" t="s">
        <v>208</v>
      </c>
      <c r="AA376" s="241" t="s">
        <v>283</v>
      </c>
      <c r="AE376" s="279" t="s">
        <v>3</v>
      </c>
      <c r="AF376" s="280" t="s">
        <v>2</v>
      </c>
      <c r="AH376" s="363"/>
    </row>
    <row r="377" spans="1:34" ht="12.75" customHeight="1">
      <c r="A377" s="792"/>
      <c r="B377" s="965"/>
      <c r="C377" s="966"/>
      <c r="D377" s="966"/>
      <c r="E377" s="967"/>
      <c r="F377" s="993"/>
      <c r="G377" s="994"/>
      <c r="H377" s="995"/>
      <c r="I377" s="771"/>
      <c r="J377" s="771"/>
      <c r="K377" s="771"/>
      <c r="L377" s="771"/>
      <c r="M377" s="771"/>
      <c r="N377" s="771"/>
      <c r="O377" s="771"/>
      <c r="P377" s="775"/>
      <c r="Q377" s="776"/>
      <c r="R377" s="776"/>
      <c r="S377" s="776"/>
      <c r="T377" s="776"/>
      <c r="U377" s="776"/>
      <c r="V377" s="776"/>
      <c r="W377" s="777"/>
      <c r="X377" s="429"/>
      <c r="Y377" s="256">
        <f>SUM(I376:W377)</f>
        <v>0</v>
      </c>
      <c r="Z377" s="242">
        <v>30</v>
      </c>
      <c r="AA377" s="259">
        <f>IF(z_kateg="высшая",AE377,AF377)</f>
        <v>20</v>
      </c>
      <c r="AE377" s="275">
        <v>20</v>
      </c>
      <c r="AF377" s="276">
        <v>20</v>
      </c>
      <c r="AH377" s="363"/>
    </row>
    <row r="378" spans="1:34" ht="14.25">
      <c r="A378" s="803" t="s">
        <v>203</v>
      </c>
      <c r="B378" s="824" t="s">
        <v>204</v>
      </c>
      <c r="C378" s="825"/>
      <c r="D378" s="825"/>
      <c r="E378" s="826"/>
      <c r="F378" s="787" t="s">
        <v>216</v>
      </c>
      <c r="G378" s="788"/>
      <c r="H378" s="788"/>
      <c r="I378" s="788"/>
      <c r="J378" s="788"/>
      <c r="K378" s="788"/>
      <c r="L378" s="788"/>
      <c r="M378" s="788"/>
      <c r="N378" s="788"/>
      <c r="O378" s="788"/>
      <c r="P378" s="788"/>
      <c r="Q378" s="788"/>
      <c r="R378" s="788"/>
      <c r="S378" s="788"/>
      <c r="T378" s="788"/>
      <c r="U378" s="788"/>
      <c r="V378" s="788"/>
      <c r="W378" s="789"/>
      <c r="X378" s="429"/>
      <c r="Z378" s="196"/>
      <c r="AA378" s="196"/>
      <c r="AH378" s="363"/>
    </row>
    <row r="379" spans="1:34" ht="14.25" customHeight="1">
      <c r="A379" s="804"/>
      <c r="B379" s="827"/>
      <c r="C379" s="828"/>
      <c r="D379" s="828"/>
      <c r="E379" s="829"/>
      <c r="F379" s="833" t="s">
        <v>210</v>
      </c>
      <c r="G379" s="834"/>
      <c r="H379" s="834"/>
      <c r="I379" s="834"/>
      <c r="J379" s="834"/>
      <c r="K379" s="834"/>
      <c r="L379" s="834"/>
      <c r="M379" s="834"/>
      <c r="N379" s="834"/>
      <c r="O379" s="834"/>
      <c r="P379" s="834"/>
      <c r="Q379" s="834"/>
      <c r="R379" s="834"/>
      <c r="S379" s="834"/>
      <c r="T379" s="834"/>
      <c r="U379" s="834"/>
      <c r="V379" s="834"/>
      <c r="W379" s="835"/>
      <c r="X379" s="429"/>
      <c r="AH379" s="363"/>
    </row>
    <row r="380" spans="1:34" ht="14.25" customHeight="1">
      <c r="A380" s="805"/>
      <c r="B380" s="830"/>
      <c r="C380" s="831"/>
      <c r="D380" s="831"/>
      <c r="E380" s="832"/>
      <c r="F380" s="1002">
        <v>0</v>
      </c>
      <c r="G380" s="1002"/>
      <c r="H380" s="1002"/>
      <c r="I380" s="821">
        <v>10</v>
      </c>
      <c r="J380" s="822"/>
      <c r="K380" s="823"/>
      <c r="L380" s="821">
        <v>10</v>
      </c>
      <c r="M380" s="822"/>
      <c r="N380" s="822"/>
      <c r="O380" s="823"/>
      <c r="P380" s="821">
        <v>20</v>
      </c>
      <c r="Q380" s="822"/>
      <c r="R380" s="822"/>
      <c r="S380" s="823"/>
      <c r="T380" s="821">
        <v>20</v>
      </c>
      <c r="U380" s="822"/>
      <c r="V380" s="822"/>
      <c r="W380" s="823"/>
      <c r="X380" s="429"/>
      <c r="AH380" s="363"/>
    </row>
    <row r="381" spans="1:34" ht="15" customHeight="1">
      <c r="A381" s="790" t="s">
        <v>238</v>
      </c>
      <c r="B381" s="778" t="s">
        <v>533</v>
      </c>
      <c r="C381" s="779"/>
      <c r="D381" s="779"/>
      <c r="E381" s="780"/>
      <c r="F381" s="802" t="s">
        <v>291</v>
      </c>
      <c r="G381" s="802"/>
      <c r="H381" s="802"/>
      <c r="I381" s="761" t="s">
        <v>435</v>
      </c>
      <c r="J381" s="762"/>
      <c r="K381" s="763"/>
      <c r="L381" s="761" t="s">
        <v>420</v>
      </c>
      <c r="M381" s="762"/>
      <c r="N381" s="762"/>
      <c r="O381" s="763"/>
      <c r="P381" s="761" t="s">
        <v>422</v>
      </c>
      <c r="Q381" s="762"/>
      <c r="R381" s="762"/>
      <c r="S381" s="763"/>
      <c r="T381" s="761" t="s">
        <v>421</v>
      </c>
      <c r="U381" s="762"/>
      <c r="V381" s="762"/>
      <c r="W381" s="763"/>
      <c r="X381" s="429"/>
      <c r="AH381" s="363"/>
    </row>
    <row r="382" spans="1:34" ht="15" customHeight="1">
      <c r="A382" s="791"/>
      <c r="B382" s="781"/>
      <c r="C382" s="782"/>
      <c r="D382" s="782"/>
      <c r="E382" s="783"/>
      <c r="F382" s="802"/>
      <c r="G382" s="802"/>
      <c r="H382" s="802"/>
      <c r="I382" s="764"/>
      <c r="J382" s="765"/>
      <c r="K382" s="766"/>
      <c r="L382" s="764"/>
      <c r="M382" s="765"/>
      <c r="N382" s="765"/>
      <c r="O382" s="766"/>
      <c r="P382" s="764"/>
      <c r="Q382" s="765"/>
      <c r="R382" s="765"/>
      <c r="S382" s="766"/>
      <c r="T382" s="764"/>
      <c r="U382" s="765"/>
      <c r="V382" s="765"/>
      <c r="W382" s="766"/>
      <c r="X382" s="429"/>
      <c r="AB382" s="263"/>
      <c r="AC382" s="263"/>
      <c r="AD382" s="263"/>
      <c r="AH382" s="363"/>
    </row>
    <row r="383" spans="1:34" ht="15" customHeight="1">
      <c r="A383" s="791"/>
      <c r="B383" s="781"/>
      <c r="C383" s="782"/>
      <c r="D383" s="782"/>
      <c r="E383" s="783"/>
      <c r="F383" s="802"/>
      <c r="G383" s="802"/>
      <c r="H383" s="802"/>
      <c r="I383" s="767"/>
      <c r="J383" s="768"/>
      <c r="K383" s="769"/>
      <c r="L383" s="764"/>
      <c r="M383" s="765"/>
      <c r="N383" s="765"/>
      <c r="O383" s="766"/>
      <c r="P383" s="764"/>
      <c r="Q383" s="765"/>
      <c r="R383" s="765"/>
      <c r="S383" s="766"/>
      <c r="T383" s="764"/>
      <c r="U383" s="765"/>
      <c r="V383" s="765"/>
      <c r="W383" s="766"/>
      <c r="X383" s="429"/>
      <c r="Z383" s="264"/>
      <c r="AH383" s="363"/>
    </row>
    <row r="384" spans="1:34" ht="14.25" customHeight="1">
      <c r="A384" s="791"/>
      <c r="B384" s="781"/>
      <c r="C384" s="782"/>
      <c r="D384" s="782"/>
      <c r="E384" s="783"/>
      <c r="F384" s="793">
        <f>IF(Y385=0,IF(FIO="","",0),"")</f>
      </c>
      <c r="G384" s="910"/>
      <c r="H384" s="911"/>
      <c r="I384" s="772"/>
      <c r="J384" s="773"/>
      <c r="K384" s="774"/>
      <c r="L384" s="771"/>
      <c r="M384" s="771"/>
      <c r="N384" s="771"/>
      <c r="O384" s="771"/>
      <c r="P384" s="771"/>
      <c r="Q384" s="771"/>
      <c r="R384" s="771"/>
      <c r="S384" s="771"/>
      <c r="T384" s="771"/>
      <c r="U384" s="771"/>
      <c r="V384" s="771"/>
      <c r="W384" s="771"/>
      <c r="X384" s="429"/>
      <c r="Z384" s="240" t="s">
        <v>208</v>
      </c>
      <c r="AA384" s="241" t="s">
        <v>283</v>
      </c>
      <c r="AE384" s="279" t="s">
        <v>3</v>
      </c>
      <c r="AF384" s="280" t="s">
        <v>2</v>
      </c>
      <c r="AH384" s="363"/>
    </row>
    <row r="385" spans="1:34" ht="12.75" customHeight="1">
      <c r="A385" s="792"/>
      <c r="B385" s="965" t="str">
        <f>B353</f>
        <v>(далее – Прил. № 4)</v>
      </c>
      <c r="C385" s="966"/>
      <c r="D385" s="966"/>
      <c r="E385" s="967"/>
      <c r="F385" s="993"/>
      <c r="G385" s="994"/>
      <c r="H385" s="995"/>
      <c r="I385" s="775"/>
      <c r="J385" s="776"/>
      <c r="K385" s="777"/>
      <c r="L385" s="771"/>
      <c r="M385" s="771"/>
      <c r="N385" s="771"/>
      <c r="O385" s="771"/>
      <c r="P385" s="771"/>
      <c r="Q385" s="771"/>
      <c r="R385" s="771"/>
      <c r="S385" s="771"/>
      <c r="T385" s="771"/>
      <c r="U385" s="771"/>
      <c r="V385" s="771"/>
      <c r="W385" s="771"/>
      <c r="X385" s="429"/>
      <c r="Y385" s="256">
        <f>SUM(I384:W385)</f>
        <v>0</v>
      </c>
      <c r="Z385" s="242">
        <v>60</v>
      </c>
      <c r="AA385" s="259">
        <f>IF(z_kateg="высшая",AE385,AF385)</f>
        <v>0</v>
      </c>
      <c r="AE385" s="275">
        <v>0</v>
      </c>
      <c r="AF385" s="276">
        <v>0</v>
      </c>
      <c r="AH385" s="363"/>
    </row>
    <row r="386" spans="1:34" ht="14.25">
      <c r="A386" s="803" t="s">
        <v>203</v>
      </c>
      <c r="B386" s="824" t="s">
        <v>204</v>
      </c>
      <c r="C386" s="825"/>
      <c r="D386" s="825"/>
      <c r="E386" s="825"/>
      <c r="F386" s="825"/>
      <c r="G386" s="825"/>
      <c r="H386" s="826"/>
      <c r="I386" s="787" t="s">
        <v>205</v>
      </c>
      <c r="J386" s="788"/>
      <c r="K386" s="788"/>
      <c r="L386" s="788"/>
      <c r="M386" s="788"/>
      <c r="N386" s="788"/>
      <c r="O386" s="788"/>
      <c r="P386" s="788"/>
      <c r="Q386" s="788"/>
      <c r="R386" s="788"/>
      <c r="S386" s="788"/>
      <c r="T386" s="788"/>
      <c r="U386" s="788"/>
      <c r="V386" s="788"/>
      <c r="W386" s="789"/>
      <c r="X386" s="429"/>
      <c r="Y386" s="12"/>
      <c r="AA386" s="12"/>
      <c r="AC386" s="12"/>
      <c r="AE386" s="12"/>
      <c r="AH386" s="363"/>
    </row>
    <row r="387" spans="1:34" ht="14.25" customHeight="1">
      <c r="A387" s="804"/>
      <c r="B387" s="827"/>
      <c r="C387" s="828"/>
      <c r="D387" s="828"/>
      <c r="E387" s="828"/>
      <c r="F387" s="828"/>
      <c r="G387" s="828"/>
      <c r="H387" s="829"/>
      <c r="I387" s="833" t="s">
        <v>210</v>
      </c>
      <c r="J387" s="834"/>
      <c r="K387" s="834"/>
      <c r="L387" s="834"/>
      <c r="M387" s="834"/>
      <c r="N387" s="834"/>
      <c r="O387" s="834"/>
      <c r="P387" s="834"/>
      <c r="Q387" s="834"/>
      <c r="R387" s="834"/>
      <c r="S387" s="834"/>
      <c r="T387" s="834"/>
      <c r="U387" s="834"/>
      <c r="V387" s="834"/>
      <c r="W387" s="835"/>
      <c r="X387" s="429"/>
      <c r="Y387" s="12"/>
      <c r="Z387" s="12"/>
      <c r="AA387" s="12"/>
      <c r="AB387" s="12"/>
      <c r="AC387" s="12"/>
      <c r="AD387" s="12"/>
      <c r="AE387" s="12"/>
      <c r="AH387" s="363"/>
    </row>
    <row r="388" spans="1:34" ht="14.25" customHeight="1">
      <c r="A388" s="805"/>
      <c r="B388" s="827"/>
      <c r="C388" s="828"/>
      <c r="D388" s="828"/>
      <c r="E388" s="828"/>
      <c r="F388" s="828"/>
      <c r="G388" s="828"/>
      <c r="H388" s="829"/>
      <c r="I388" s="821">
        <v>0</v>
      </c>
      <c r="J388" s="822"/>
      <c r="K388" s="823"/>
      <c r="L388" s="821" t="s">
        <v>270</v>
      </c>
      <c r="M388" s="822"/>
      <c r="N388" s="822"/>
      <c r="O388" s="823"/>
      <c r="P388" s="821" t="s">
        <v>273</v>
      </c>
      <c r="Q388" s="822"/>
      <c r="R388" s="822"/>
      <c r="S388" s="823"/>
      <c r="T388" s="821" t="s">
        <v>436</v>
      </c>
      <c r="U388" s="822"/>
      <c r="V388" s="822"/>
      <c r="W388" s="823"/>
      <c r="X388" s="429"/>
      <c r="Y388" s="12"/>
      <c r="Z388" s="12"/>
      <c r="AA388" s="12"/>
      <c r="AB388" s="12"/>
      <c r="AC388" s="12"/>
      <c r="AD388" s="12"/>
      <c r="AE388" s="12"/>
      <c r="AH388" s="363"/>
    </row>
    <row r="389" spans="1:34" ht="12.75" customHeight="1">
      <c r="A389" s="790" t="s">
        <v>239</v>
      </c>
      <c r="B389" s="778" t="s">
        <v>734</v>
      </c>
      <c r="C389" s="779"/>
      <c r="D389" s="779"/>
      <c r="E389" s="779"/>
      <c r="F389" s="779"/>
      <c r="G389" s="779"/>
      <c r="H389" s="780"/>
      <c r="I389" s="761" t="s">
        <v>211</v>
      </c>
      <c r="J389" s="762"/>
      <c r="K389" s="763"/>
      <c r="L389" s="761" t="s">
        <v>420</v>
      </c>
      <c r="M389" s="762"/>
      <c r="N389" s="762"/>
      <c r="O389" s="763"/>
      <c r="P389" s="761" t="s">
        <v>422</v>
      </c>
      <c r="Q389" s="762"/>
      <c r="R389" s="762"/>
      <c r="S389" s="763"/>
      <c r="T389" s="761" t="s">
        <v>434</v>
      </c>
      <c r="U389" s="762"/>
      <c r="V389" s="762"/>
      <c r="W389" s="763"/>
      <c r="X389" s="429"/>
      <c r="Y389" s="12"/>
      <c r="AA389" s="12"/>
      <c r="AB389" s="12"/>
      <c r="AC389" s="12"/>
      <c r="AH389" s="363"/>
    </row>
    <row r="390" spans="1:34" ht="12.75" customHeight="1">
      <c r="A390" s="791"/>
      <c r="B390" s="781"/>
      <c r="C390" s="782"/>
      <c r="D390" s="782"/>
      <c r="E390" s="782"/>
      <c r="F390" s="782"/>
      <c r="G390" s="782"/>
      <c r="H390" s="783"/>
      <c r="I390" s="764"/>
      <c r="J390" s="765"/>
      <c r="K390" s="766"/>
      <c r="L390" s="764"/>
      <c r="M390" s="765"/>
      <c r="N390" s="765"/>
      <c r="O390" s="766"/>
      <c r="P390" s="764"/>
      <c r="Q390" s="765"/>
      <c r="R390" s="765"/>
      <c r="S390" s="766"/>
      <c r="T390" s="764"/>
      <c r="U390" s="765"/>
      <c r="V390" s="765"/>
      <c r="W390" s="766"/>
      <c r="X390" s="429"/>
      <c r="Y390" s="12"/>
      <c r="AA390" s="12"/>
      <c r="AB390" s="12"/>
      <c r="AC390" s="12"/>
      <c r="AH390" s="363"/>
    </row>
    <row r="391" spans="1:34" ht="20.25" customHeight="1">
      <c r="A391" s="791"/>
      <c r="B391" s="781"/>
      <c r="C391" s="782"/>
      <c r="D391" s="782"/>
      <c r="E391" s="782"/>
      <c r="F391" s="782"/>
      <c r="G391" s="782"/>
      <c r="H391" s="783"/>
      <c r="I391" s="764"/>
      <c r="J391" s="765"/>
      <c r="K391" s="766"/>
      <c r="L391" s="764"/>
      <c r="M391" s="765"/>
      <c r="N391" s="765"/>
      <c r="O391" s="766"/>
      <c r="P391" s="764"/>
      <c r="Q391" s="765"/>
      <c r="R391" s="765"/>
      <c r="S391" s="766"/>
      <c r="T391" s="764"/>
      <c r="U391" s="765"/>
      <c r="V391" s="765"/>
      <c r="W391" s="766"/>
      <c r="X391" s="429"/>
      <c r="Y391" s="12"/>
      <c r="AA391" s="12"/>
      <c r="AB391" s="12"/>
      <c r="AC391" s="12"/>
      <c r="AH391" s="363"/>
    </row>
    <row r="392" spans="1:34" ht="12.75" customHeight="1">
      <c r="A392" s="791"/>
      <c r="B392" s="781"/>
      <c r="C392" s="782"/>
      <c r="D392" s="782"/>
      <c r="E392" s="782"/>
      <c r="F392" s="782"/>
      <c r="G392" s="782"/>
      <c r="H392" s="783"/>
      <c r="I392" s="999"/>
      <c r="J392" s="1000"/>
      <c r="K392" s="1001"/>
      <c r="L392" s="935" t="s">
        <v>319</v>
      </c>
      <c r="M392" s="936"/>
      <c r="N392" s="936"/>
      <c r="O392" s="937"/>
      <c r="P392" s="935" t="s">
        <v>451</v>
      </c>
      <c r="Q392" s="936"/>
      <c r="R392" s="936"/>
      <c r="S392" s="937"/>
      <c r="T392" s="935" t="s">
        <v>452</v>
      </c>
      <c r="U392" s="936"/>
      <c r="V392" s="936"/>
      <c r="W392" s="937"/>
      <c r="X392" s="429"/>
      <c r="Y392" s="12"/>
      <c r="AH392" s="363"/>
    </row>
    <row r="393" spans="1:34" ht="12.75" customHeight="1">
      <c r="A393" s="791"/>
      <c r="B393" s="781"/>
      <c r="C393" s="782"/>
      <c r="D393" s="782"/>
      <c r="E393" s="782"/>
      <c r="F393" s="782"/>
      <c r="G393" s="782"/>
      <c r="H393" s="783"/>
      <c r="I393" s="999"/>
      <c r="J393" s="1000"/>
      <c r="K393" s="1001"/>
      <c r="L393" s="935"/>
      <c r="M393" s="936"/>
      <c r="N393" s="936"/>
      <c r="O393" s="937"/>
      <c r="P393" s="935"/>
      <c r="Q393" s="936"/>
      <c r="R393" s="936"/>
      <c r="S393" s="937"/>
      <c r="T393" s="935"/>
      <c r="U393" s="936"/>
      <c r="V393" s="936"/>
      <c r="W393" s="937"/>
      <c r="X393" s="429"/>
      <c r="Y393" s="12"/>
      <c r="AH393" s="363"/>
    </row>
    <row r="394" spans="1:34" ht="21.75" customHeight="1">
      <c r="A394" s="791"/>
      <c r="B394" s="781"/>
      <c r="C394" s="782"/>
      <c r="D394" s="782"/>
      <c r="E394" s="782"/>
      <c r="F394" s="782"/>
      <c r="G394" s="782"/>
      <c r="H394" s="783"/>
      <c r="I394" s="1003"/>
      <c r="J394" s="1004"/>
      <c r="K394" s="1005"/>
      <c r="L394" s="1090" t="s">
        <v>298</v>
      </c>
      <c r="M394" s="1091"/>
      <c r="N394" s="1091"/>
      <c r="O394" s="1091"/>
      <c r="P394" s="1090" t="s">
        <v>287</v>
      </c>
      <c r="Q394" s="1091"/>
      <c r="R394" s="1091"/>
      <c r="S394" s="1092"/>
      <c r="T394" s="1090" t="s">
        <v>432</v>
      </c>
      <c r="U394" s="1091"/>
      <c r="V394" s="1091"/>
      <c r="W394" s="1092"/>
      <c r="X394" s="429"/>
      <c r="Y394" s="12"/>
      <c r="AH394" s="363"/>
    </row>
    <row r="395" spans="1:34" ht="12.75" customHeight="1">
      <c r="A395" s="791"/>
      <c r="B395" s="962" t="str">
        <f>B353</f>
        <v>(далее – Прил. № 4)</v>
      </c>
      <c r="C395" s="963"/>
      <c r="D395" s="963"/>
      <c r="E395" s="963"/>
      <c r="F395" s="963"/>
      <c r="G395" s="963"/>
      <c r="H395" s="964"/>
      <c r="I395" s="793">
        <f>IF(Y396=0,IF(FIO="","",0),"")</f>
      </c>
      <c r="J395" s="794"/>
      <c r="K395" s="795"/>
      <c r="L395" s="771"/>
      <c r="M395" s="771"/>
      <c r="N395" s="771"/>
      <c r="O395" s="771"/>
      <c r="P395" s="771"/>
      <c r="Q395" s="771"/>
      <c r="R395" s="771"/>
      <c r="S395" s="771"/>
      <c r="T395" s="771"/>
      <c r="U395" s="771"/>
      <c r="V395" s="771"/>
      <c r="W395" s="771"/>
      <c r="X395" s="429"/>
      <c r="Z395" s="240" t="s">
        <v>208</v>
      </c>
      <c r="AA395" s="241" t="s">
        <v>283</v>
      </c>
      <c r="AE395" s="279" t="s">
        <v>3</v>
      </c>
      <c r="AF395" s="280" t="s">
        <v>2</v>
      </c>
      <c r="AH395" s="363"/>
    </row>
    <row r="396" spans="1:34" ht="12.75" customHeight="1">
      <c r="A396" s="792"/>
      <c r="B396" s="965"/>
      <c r="C396" s="966"/>
      <c r="D396" s="966"/>
      <c r="E396" s="966"/>
      <c r="F396" s="966"/>
      <c r="G396" s="966"/>
      <c r="H396" s="967"/>
      <c r="I396" s="799"/>
      <c r="J396" s="800"/>
      <c r="K396" s="801"/>
      <c r="L396" s="771"/>
      <c r="M396" s="771"/>
      <c r="N396" s="771"/>
      <c r="O396" s="771"/>
      <c r="P396" s="771"/>
      <c r="Q396" s="771"/>
      <c r="R396" s="771"/>
      <c r="S396" s="771"/>
      <c r="T396" s="771"/>
      <c r="U396" s="771"/>
      <c r="V396" s="771"/>
      <c r="W396" s="771"/>
      <c r="X396" s="429"/>
      <c r="Y396" s="256">
        <f>SUM(L395:W396)</f>
        <v>0</v>
      </c>
      <c r="Z396" s="242">
        <v>110</v>
      </c>
      <c r="AA396" s="259">
        <f>IF(z_kateg="высшая",AE396,AF396)</f>
        <v>10</v>
      </c>
      <c r="AE396" s="275">
        <v>20</v>
      </c>
      <c r="AF396" s="276">
        <v>10</v>
      </c>
      <c r="AH396" s="363"/>
    </row>
    <row r="397" spans="1:34" ht="14.25">
      <c r="A397" s="803" t="s">
        <v>203</v>
      </c>
      <c r="B397" s="824" t="s">
        <v>204</v>
      </c>
      <c r="C397" s="825"/>
      <c r="D397" s="825"/>
      <c r="E397" s="825"/>
      <c r="F397" s="825"/>
      <c r="G397" s="825"/>
      <c r="H397" s="825"/>
      <c r="I397" s="787" t="s">
        <v>205</v>
      </c>
      <c r="J397" s="788"/>
      <c r="K397" s="788"/>
      <c r="L397" s="788"/>
      <c r="M397" s="788"/>
      <c r="N397" s="788"/>
      <c r="O397" s="788"/>
      <c r="P397" s="788"/>
      <c r="Q397" s="788"/>
      <c r="R397" s="788"/>
      <c r="S397" s="788"/>
      <c r="T397" s="788"/>
      <c r="U397" s="788"/>
      <c r="V397" s="788"/>
      <c r="W397" s="789"/>
      <c r="X397" s="429"/>
      <c r="AA397" s="1062"/>
      <c r="AE397" s="1044"/>
      <c r="AF397" s="1044"/>
      <c r="AH397" s="363"/>
    </row>
    <row r="398" spans="1:34" ht="14.25" customHeight="1">
      <c r="A398" s="804"/>
      <c r="B398" s="827"/>
      <c r="C398" s="828"/>
      <c r="D398" s="828"/>
      <c r="E398" s="828"/>
      <c r="F398" s="828"/>
      <c r="G398" s="828"/>
      <c r="H398" s="828"/>
      <c r="I398" s="833" t="s">
        <v>206</v>
      </c>
      <c r="J398" s="834"/>
      <c r="K398" s="834"/>
      <c r="L398" s="834"/>
      <c r="M398" s="834"/>
      <c r="N398" s="834"/>
      <c r="O398" s="834"/>
      <c r="P398" s="834"/>
      <c r="Q398" s="834"/>
      <c r="R398" s="834"/>
      <c r="S398" s="834"/>
      <c r="T398" s="834"/>
      <c r="U398" s="834"/>
      <c r="V398" s="834"/>
      <c r="W398" s="835"/>
      <c r="X398" s="429"/>
      <c r="AA398" s="1062"/>
      <c r="AE398" s="1044"/>
      <c r="AF398" s="1044"/>
      <c r="AH398" s="363"/>
    </row>
    <row r="399" spans="1:34" ht="14.25" customHeight="1">
      <c r="A399" s="805"/>
      <c r="B399" s="830"/>
      <c r="C399" s="831"/>
      <c r="D399" s="831"/>
      <c r="E399" s="831"/>
      <c r="F399" s="831"/>
      <c r="G399" s="831"/>
      <c r="H399" s="831"/>
      <c r="I399" s="1002">
        <v>0</v>
      </c>
      <c r="J399" s="1002"/>
      <c r="K399" s="1002"/>
      <c r="L399" s="1002"/>
      <c r="M399" s="1002"/>
      <c r="N399" s="1002" t="s">
        <v>270</v>
      </c>
      <c r="O399" s="1002"/>
      <c r="P399" s="1002"/>
      <c r="Q399" s="1002"/>
      <c r="R399" s="1002"/>
      <c r="S399" s="1002" t="s">
        <v>213</v>
      </c>
      <c r="T399" s="1002"/>
      <c r="U399" s="1002"/>
      <c r="V399" s="1002"/>
      <c r="W399" s="1002"/>
      <c r="X399" s="429"/>
      <c r="AA399" s="1062"/>
      <c r="AE399" s="1044"/>
      <c r="AF399" s="1044"/>
      <c r="AH399" s="363"/>
    </row>
    <row r="400" spans="1:34" ht="12.75" customHeight="1">
      <c r="A400" s="790" t="s">
        <v>240</v>
      </c>
      <c r="B400" s="778" t="s">
        <v>735</v>
      </c>
      <c r="C400" s="779"/>
      <c r="D400" s="779"/>
      <c r="E400" s="779"/>
      <c r="F400" s="779"/>
      <c r="G400" s="779"/>
      <c r="H400" s="780"/>
      <c r="I400" s="761" t="s">
        <v>241</v>
      </c>
      <c r="J400" s="762"/>
      <c r="K400" s="762"/>
      <c r="L400" s="762"/>
      <c r="M400" s="763"/>
      <c r="N400" s="845" t="s">
        <v>437</v>
      </c>
      <c r="O400" s="846"/>
      <c r="P400" s="846"/>
      <c r="Q400" s="846"/>
      <c r="R400" s="847"/>
      <c r="S400" s="845" t="s">
        <v>242</v>
      </c>
      <c r="T400" s="846"/>
      <c r="U400" s="846"/>
      <c r="V400" s="846"/>
      <c r="W400" s="847"/>
      <c r="X400" s="429"/>
      <c r="AA400" s="1062"/>
      <c r="AE400" s="1044"/>
      <c r="AF400" s="1044"/>
      <c r="AH400" s="363"/>
    </row>
    <row r="401" spans="1:34" ht="27" customHeight="1">
      <c r="A401" s="791"/>
      <c r="B401" s="781"/>
      <c r="C401" s="782"/>
      <c r="D401" s="782"/>
      <c r="E401" s="782"/>
      <c r="F401" s="782"/>
      <c r="G401" s="782"/>
      <c r="H401" s="783"/>
      <c r="I401" s="764"/>
      <c r="J401" s="765"/>
      <c r="K401" s="765"/>
      <c r="L401" s="765"/>
      <c r="M401" s="766"/>
      <c r="N401" s="848"/>
      <c r="O401" s="849"/>
      <c r="P401" s="849"/>
      <c r="Q401" s="849"/>
      <c r="R401" s="850"/>
      <c r="S401" s="848"/>
      <c r="T401" s="849"/>
      <c r="U401" s="849"/>
      <c r="V401" s="849"/>
      <c r="W401" s="850"/>
      <c r="X401" s="429"/>
      <c r="AA401" s="1062"/>
      <c r="AE401" s="1044"/>
      <c r="AF401" s="1044"/>
      <c r="AH401" s="363"/>
    </row>
    <row r="402" spans="1:34" ht="12.75" customHeight="1">
      <c r="A402" s="791"/>
      <c r="B402" s="781"/>
      <c r="C402" s="782"/>
      <c r="D402" s="782"/>
      <c r="E402" s="782"/>
      <c r="F402" s="782"/>
      <c r="G402" s="782"/>
      <c r="H402" s="783"/>
      <c r="I402" s="848"/>
      <c r="J402" s="849"/>
      <c r="K402" s="849"/>
      <c r="L402" s="849"/>
      <c r="M402" s="850"/>
      <c r="N402" s="999" t="s">
        <v>308</v>
      </c>
      <c r="O402" s="1000"/>
      <c r="P402" s="1000"/>
      <c r="Q402" s="1000"/>
      <c r="R402" s="1001"/>
      <c r="S402" s="999" t="s">
        <v>310</v>
      </c>
      <c r="T402" s="1000"/>
      <c r="U402" s="1000"/>
      <c r="V402" s="1000"/>
      <c r="W402" s="1001"/>
      <c r="X402" s="429"/>
      <c r="AA402" s="1062"/>
      <c r="AE402" s="1044"/>
      <c r="AF402" s="1044"/>
      <c r="AH402" s="363"/>
    </row>
    <row r="403" spans="1:34" ht="12.75">
      <c r="A403" s="791"/>
      <c r="B403" s="781"/>
      <c r="C403" s="782"/>
      <c r="D403" s="782"/>
      <c r="E403" s="782"/>
      <c r="F403" s="782"/>
      <c r="G403" s="782"/>
      <c r="H403" s="783"/>
      <c r="I403" s="851"/>
      <c r="J403" s="852"/>
      <c r="K403" s="852"/>
      <c r="L403" s="852"/>
      <c r="M403" s="853"/>
      <c r="N403" s="996" t="s">
        <v>309</v>
      </c>
      <c r="O403" s="997"/>
      <c r="P403" s="997"/>
      <c r="Q403" s="997"/>
      <c r="R403" s="998"/>
      <c r="S403" s="996" t="s">
        <v>287</v>
      </c>
      <c r="T403" s="997"/>
      <c r="U403" s="997"/>
      <c r="V403" s="997"/>
      <c r="W403" s="998"/>
      <c r="X403" s="429"/>
      <c r="Y403" s="12"/>
      <c r="Z403" s="232"/>
      <c r="AA403" s="1062"/>
      <c r="AB403" s="268"/>
      <c r="AC403" s="12"/>
      <c r="AD403" s="12"/>
      <c r="AE403" s="1044"/>
      <c r="AF403" s="1044"/>
      <c r="AH403" s="363"/>
    </row>
    <row r="404" spans="1:34" ht="12.75" customHeight="1">
      <c r="A404" s="791"/>
      <c r="B404" s="962" t="str">
        <f>B353</f>
        <v>(далее – Прил. № 4)</v>
      </c>
      <c r="C404" s="963"/>
      <c r="D404" s="963"/>
      <c r="E404" s="963"/>
      <c r="F404" s="963"/>
      <c r="G404" s="963"/>
      <c r="H404" s="964"/>
      <c r="I404" s="770">
        <f>IF(Y405=0,IF(FIO="","",0),"")</f>
      </c>
      <c r="J404" s="770"/>
      <c r="K404" s="770"/>
      <c r="L404" s="770"/>
      <c r="M404" s="770"/>
      <c r="N404" s="771"/>
      <c r="O404" s="771"/>
      <c r="P404" s="771"/>
      <c r="Q404" s="771"/>
      <c r="R404" s="771"/>
      <c r="S404" s="771"/>
      <c r="T404" s="771"/>
      <c r="U404" s="771"/>
      <c r="V404" s="771"/>
      <c r="W404" s="771"/>
      <c r="X404" s="429"/>
      <c r="Z404" s="240" t="s">
        <v>208</v>
      </c>
      <c r="AA404" s="1062"/>
      <c r="AE404" s="1044"/>
      <c r="AF404" s="1044"/>
      <c r="AH404" s="363"/>
    </row>
    <row r="405" spans="1:34" ht="12.75">
      <c r="A405" s="792"/>
      <c r="B405" s="965"/>
      <c r="C405" s="966"/>
      <c r="D405" s="966"/>
      <c r="E405" s="966"/>
      <c r="F405" s="966"/>
      <c r="G405" s="966"/>
      <c r="H405" s="967"/>
      <c r="I405" s="770"/>
      <c r="J405" s="770"/>
      <c r="K405" s="770"/>
      <c r="L405" s="770"/>
      <c r="M405" s="770"/>
      <c r="N405" s="771"/>
      <c r="O405" s="771"/>
      <c r="P405" s="771"/>
      <c r="Q405" s="771"/>
      <c r="R405" s="771"/>
      <c r="S405" s="771"/>
      <c r="T405" s="771"/>
      <c r="U405" s="771"/>
      <c r="V405" s="771"/>
      <c r="W405" s="771"/>
      <c r="X405" s="429"/>
      <c r="Y405" s="256">
        <f>MAX(N404:W405)</f>
        <v>0</v>
      </c>
      <c r="Z405" s="242">
        <v>40</v>
      </c>
      <c r="AA405" s="1062"/>
      <c r="AE405" s="1044"/>
      <c r="AF405" s="1044"/>
      <c r="AH405" s="363"/>
    </row>
    <row r="406" spans="1:34" ht="14.25">
      <c r="A406" s="803" t="s">
        <v>203</v>
      </c>
      <c r="B406" s="824" t="s">
        <v>204</v>
      </c>
      <c r="C406" s="825"/>
      <c r="D406" s="825"/>
      <c r="E406" s="825"/>
      <c r="F406" s="825"/>
      <c r="G406" s="825"/>
      <c r="H406" s="825"/>
      <c r="I406" s="787" t="s">
        <v>205</v>
      </c>
      <c r="J406" s="788"/>
      <c r="K406" s="788"/>
      <c r="L406" s="788"/>
      <c r="M406" s="788"/>
      <c r="N406" s="788"/>
      <c r="O406" s="788"/>
      <c r="P406" s="788"/>
      <c r="Q406" s="788"/>
      <c r="R406" s="788"/>
      <c r="S406" s="788"/>
      <c r="T406" s="788"/>
      <c r="U406" s="788"/>
      <c r="V406" s="788"/>
      <c r="W406" s="789"/>
      <c r="X406" s="429"/>
      <c r="AA406" s="1062"/>
      <c r="AE406" s="1044"/>
      <c r="AF406" s="1044"/>
      <c r="AH406" s="363"/>
    </row>
    <row r="407" spans="1:34" ht="14.25" customHeight="1">
      <c r="A407" s="804"/>
      <c r="B407" s="827"/>
      <c r="C407" s="828"/>
      <c r="D407" s="828"/>
      <c r="E407" s="828"/>
      <c r="F407" s="828"/>
      <c r="G407" s="828"/>
      <c r="H407" s="828"/>
      <c r="I407" s="833" t="s">
        <v>210</v>
      </c>
      <c r="J407" s="834"/>
      <c r="K407" s="834"/>
      <c r="L407" s="834"/>
      <c r="M407" s="834"/>
      <c r="N407" s="834"/>
      <c r="O407" s="834"/>
      <c r="P407" s="834"/>
      <c r="Q407" s="834"/>
      <c r="R407" s="834"/>
      <c r="S407" s="834"/>
      <c r="T407" s="834"/>
      <c r="U407" s="834"/>
      <c r="V407" s="834"/>
      <c r="W407" s="835"/>
      <c r="X407" s="429"/>
      <c r="AA407" s="1062"/>
      <c r="AE407" s="1044"/>
      <c r="AF407" s="1044"/>
      <c r="AH407" s="363"/>
    </row>
    <row r="408" spans="1:34" ht="14.25" customHeight="1">
      <c r="A408" s="805"/>
      <c r="B408" s="830"/>
      <c r="C408" s="831"/>
      <c r="D408" s="831"/>
      <c r="E408" s="831"/>
      <c r="F408" s="831"/>
      <c r="G408" s="831"/>
      <c r="H408" s="831"/>
      <c r="I408" s="1002">
        <v>0</v>
      </c>
      <c r="J408" s="1002"/>
      <c r="K408" s="1002"/>
      <c r="L408" s="1002"/>
      <c r="M408" s="1002"/>
      <c r="N408" s="1002" t="s">
        <v>212</v>
      </c>
      <c r="O408" s="1002"/>
      <c r="P408" s="1002"/>
      <c r="Q408" s="1002"/>
      <c r="R408" s="1002"/>
      <c r="S408" s="1002" t="s">
        <v>233</v>
      </c>
      <c r="T408" s="1002"/>
      <c r="U408" s="1002"/>
      <c r="V408" s="1002"/>
      <c r="W408" s="1002"/>
      <c r="X408" s="429"/>
      <c r="AA408" s="1062"/>
      <c r="AE408" s="1044"/>
      <c r="AF408" s="1044"/>
      <c r="AH408" s="363"/>
    </row>
    <row r="409" spans="1:34" ht="12.75" customHeight="1">
      <c r="A409" s="790" t="s">
        <v>243</v>
      </c>
      <c r="B409" s="778" t="s">
        <v>311</v>
      </c>
      <c r="C409" s="779"/>
      <c r="D409" s="779"/>
      <c r="E409" s="779"/>
      <c r="F409" s="779"/>
      <c r="G409" s="779"/>
      <c r="H409" s="780"/>
      <c r="I409" s="761" t="s">
        <v>458</v>
      </c>
      <c r="J409" s="762"/>
      <c r="K409" s="762"/>
      <c r="L409" s="762"/>
      <c r="M409" s="763"/>
      <c r="N409" s="845" t="s">
        <v>444</v>
      </c>
      <c r="O409" s="846"/>
      <c r="P409" s="846"/>
      <c r="Q409" s="846"/>
      <c r="R409" s="847"/>
      <c r="S409" s="845" t="s">
        <v>445</v>
      </c>
      <c r="T409" s="846"/>
      <c r="U409" s="846"/>
      <c r="V409" s="846"/>
      <c r="W409" s="847"/>
      <c r="X409" s="429"/>
      <c r="AA409" s="1062"/>
      <c r="AE409" s="1044"/>
      <c r="AF409" s="1044"/>
      <c r="AH409" s="363"/>
    </row>
    <row r="410" spans="1:34" ht="6.75" customHeight="1">
      <c r="A410" s="791"/>
      <c r="B410" s="781"/>
      <c r="C410" s="782"/>
      <c r="D410" s="782"/>
      <c r="E410" s="782"/>
      <c r="F410" s="782"/>
      <c r="G410" s="782"/>
      <c r="H410" s="783"/>
      <c r="I410" s="764"/>
      <c r="J410" s="765"/>
      <c r="K410" s="765"/>
      <c r="L410" s="765"/>
      <c r="M410" s="766"/>
      <c r="N410" s="848"/>
      <c r="O410" s="849"/>
      <c r="P410" s="849"/>
      <c r="Q410" s="849"/>
      <c r="R410" s="850"/>
      <c r="S410" s="848"/>
      <c r="T410" s="849"/>
      <c r="U410" s="849"/>
      <c r="V410" s="849"/>
      <c r="W410" s="850"/>
      <c r="X410" s="429"/>
      <c r="AA410" s="1062"/>
      <c r="AE410" s="1044"/>
      <c r="AF410" s="1044"/>
      <c r="AH410" s="363"/>
    </row>
    <row r="411" spans="1:34" ht="12.75">
      <c r="A411" s="791"/>
      <c r="B411" s="1024" t="s">
        <v>320</v>
      </c>
      <c r="C411" s="1025"/>
      <c r="D411" s="1025"/>
      <c r="E411" s="1025"/>
      <c r="F411" s="1025"/>
      <c r="G411" s="1025"/>
      <c r="H411" s="1026"/>
      <c r="I411" s="764"/>
      <c r="J411" s="765"/>
      <c r="K411" s="765"/>
      <c r="L411" s="765"/>
      <c r="M411" s="766"/>
      <c r="N411" s="848"/>
      <c r="O411" s="849"/>
      <c r="P411" s="849"/>
      <c r="Q411" s="849"/>
      <c r="R411" s="850"/>
      <c r="S411" s="848"/>
      <c r="T411" s="849"/>
      <c r="U411" s="849"/>
      <c r="V411" s="849"/>
      <c r="W411" s="850"/>
      <c r="X411" s="429"/>
      <c r="AA411" s="1062"/>
      <c r="AE411" s="1044"/>
      <c r="AF411" s="1044"/>
      <c r="AH411" s="363"/>
    </row>
    <row r="412" spans="1:34" ht="12.75">
      <c r="A412" s="791"/>
      <c r="B412" s="962" t="s">
        <v>443</v>
      </c>
      <c r="C412" s="963"/>
      <c r="D412" s="963"/>
      <c r="E412" s="963"/>
      <c r="F412" s="963"/>
      <c r="G412" s="963"/>
      <c r="H412" s="964"/>
      <c r="I412" s="848"/>
      <c r="J412" s="849"/>
      <c r="K412" s="849"/>
      <c r="L412" s="849"/>
      <c r="M412" s="850"/>
      <c r="N412" s="999" t="s">
        <v>440</v>
      </c>
      <c r="O412" s="1000"/>
      <c r="P412" s="1000"/>
      <c r="Q412" s="1000"/>
      <c r="R412" s="1001"/>
      <c r="S412" s="999" t="s">
        <v>441</v>
      </c>
      <c r="T412" s="1000"/>
      <c r="U412" s="1000"/>
      <c r="V412" s="1000"/>
      <c r="W412" s="1001"/>
      <c r="X412" s="429"/>
      <c r="AA412" s="1062"/>
      <c r="AE412" s="1044"/>
      <c r="AF412" s="1044"/>
      <c r="AH412" s="363"/>
    </row>
    <row r="413" spans="1:34" ht="12.75" customHeight="1">
      <c r="A413" s="791"/>
      <c r="B413" s="962"/>
      <c r="C413" s="963"/>
      <c r="D413" s="963"/>
      <c r="E413" s="963"/>
      <c r="F413" s="963"/>
      <c r="G413" s="963"/>
      <c r="H413" s="964"/>
      <c r="I413" s="848"/>
      <c r="J413" s="849"/>
      <c r="K413" s="849"/>
      <c r="L413" s="849"/>
      <c r="M413" s="850"/>
      <c r="N413" s="999" t="s">
        <v>439</v>
      </c>
      <c r="O413" s="1000"/>
      <c r="P413" s="1000"/>
      <c r="Q413" s="1000"/>
      <c r="R413" s="1001"/>
      <c r="S413" s="999" t="s">
        <v>442</v>
      </c>
      <c r="T413" s="1000"/>
      <c r="U413" s="1000"/>
      <c r="V413" s="1000"/>
      <c r="W413" s="1001"/>
      <c r="X413" s="429"/>
      <c r="AA413" s="1062"/>
      <c r="AE413" s="1044"/>
      <c r="AF413" s="1044"/>
      <c r="AH413" s="363"/>
    </row>
    <row r="414" spans="1:34" ht="27.75" customHeight="1">
      <c r="A414" s="791"/>
      <c r="B414" s="962"/>
      <c r="C414" s="963"/>
      <c r="D414" s="963"/>
      <c r="E414" s="963"/>
      <c r="F414" s="963"/>
      <c r="G414" s="963"/>
      <c r="H414" s="964"/>
      <c r="I414" s="851"/>
      <c r="J414" s="852"/>
      <c r="K414" s="852"/>
      <c r="L414" s="852"/>
      <c r="M414" s="853"/>
      <c r="N414" s="1011" t="s">
        <v>438</v>
      </c>
      <c r="O414" s="1012"/>
      <c r="P414" s="1012"/>
      <c r="Q414" s="1012"/>
      <c r="R414" s="1013"/>
      <c r="S414" s="996"/>
      <c r="T414" s="997"/>
      <c r="U414" s="997"/>
      <c r="V414" s="997"/>
      <c r="W414" s="998"/>
      <c r="X414" s="429"/>
      <c r="Y414" s="12"/>
      <c r="Z414" s="232"/>
      <c r="AA414" s="1062"/>
      <c r="AB414" s="268"/>
      <c r="AC414" s="12"/>
      <c r="AD414" s="12"/>
      <c r="AE414" s="1044"/>
      <c r="AF414" s="1044"/>
      <c r="AH414" s="363"/>
    </row>
    <row r="415" spans="1:34" ht="12.75" customHeight="1">
      <c r="A415" s="791"/>
      <c r="B415" s="962"/>
      <c r="C415" s="963"/>
      <c r="D415" s="963"/>
      <c r="E415" s="963"/>
      <c r="F415" s="963"/>
      <c r="G415" s="963"/>
      <c r="H415" s="964"/>
      <c r="I415" s="770">
        <f>IF(Y416=0,IF(FIO="","",0),"")</f>
      </c>
      <c r="J415" s="770"/>
      <c r="K415" s="770"/>
      <c r="L415" s="770"/>
      <c r="M415" s="770"/>
      <c r="N415" s="771"/>
      <c r="O415" s="771"/>
      <c r="P415" s="771"/>
      <c r="Q415" s="771"/>
      <c r="R415" s="771"/>
      <c r="S415" s="771"/>
      <c r="T415" s="771"/>
      <c r="U415" s="771"/>
      <c r="V415" s="771"/>
      <c r="W415" s="771"/>
      <c r="X415" s="429"/>
      <c r="Z415" s="240" t="s">
        <v>208</v>
      </c>
      <c r="AA415" s="1062"/>
      <c r="AE415" s="1044"/>
      <c r="AF415" s="1044"/>
      <c r="AH415" s="363"/>
    </row>
    <row r="416" spans="1:34" ht="12.75" customHeight="1">
      <c r="A416" s="792"/>
      <c r="B416" s="965"/>
      <c r="C416" s="966"/>
      <c r="D416" s="966"/>
      <c r="E416" s="966"/>
      <c r="F416" s="966"/>
      <c r="G416" s="966"/>
      <c r="H416" s="967"/>
      <c r="I416" s="770"/>
      <c r="J416" s="770"/>
      <c r="K416" s="770"/>
      <c r="L416" s="770"/>
      <c r="M416" s="770"/>
      <c r="N416" s="771"/>
      <c r="O416" s="771"/>
      <c r="P416" s="771"/>
      <c r="Q416" s="771"/>
      <c r="R416" s="771"/>
      <c r="S416" s="771"/>
      <c r="T416" s="771"/>
      <c r="U416" s="771"/>
      <c r="V416" s="771"/>
      <c r="W416" s="771"/>
      <c r="X416" s="429"/>
      <c r="Y416" s="256">
        <f>SUM(N415:W416)</f>
        <v>0</v>
      </c>
      <c r="Z416" s="242">
        <v>100</v>
      </c>
      <c r="AA416" s="1062"/>
      <c r="AE416" s="1044"/>
      <c r="AF416" s="1044"/>
      <c r="AH416" s="363"/>
    </row>
    <row r="417" spans="24:34" ht="6.75" customHeight="1">
      <c r="X417" s="429"/>
      <c r="AA417" s="189"/>
      <c r="AB417" s="189"/>
      <c r="AC417" s="189"/>
      <c r="AH417" s="363"/>
    </row>
    <row r="418" spans="1:34" ht="14.25">
      <c r="A418" s="252" t="s">
        <v>245</v>
      </c>
      <c r="B418" s="187" t="s">
        <v>246</v>
      </c>
      <c r="X418" s="429"/>
      <c r="AA418" s="189"/>
      <c r="AB418" s="189"/>
      <c r="AC418" s="189"/>
      <c r="AH418" s="363"/>
    </row>
    <row r="419" spans="1:34" ht="12.75" customHeight="1">
      <c r="A419" s="803" t="s">
        <v>203</v>
      </c>
      <c r="B419" s="968" t="s">
        <v>204</v>
      </c>
      <c r="C419" s="968"/>
      <c r="D419" s="968"/>
      <c r="E419" s="968"/>
      <c r="F419" s="787" t="s">
        <v>205</v>
      </c>
      <c r="G419" s="788"/>
      <c r="H419" s="788"/>
      <c r="I419" s="788"/>
      <c r="J419" s="788"/>
      <c r="K419" s="788"/>
      <c r="L419" s="788"/>
      <c r="M419" s="788"/>
      <c r="N419" s="788"/>
      <c r="O419" s="788"/>
      <c r="P419" s="788"/>
      <c r="Q419" s="788"/>
      <c r="R419" s="788"/>
      <c r="S419" s="788"/>
      <c r="T419" s="788"/>
      <c r="U419" s="788"/>
      <c r="V419" s="788"/>
      <c r="W419" s="789"/>
      <c r="X419" s="429"/>
      <c r="AA419" s="189"/>
      <c r="AH419" s="363"/>
    </row>
    <row r="420" spans="1:34" ht="12.75" customHeight="1">
      <c r="A420" s="804"/>
      <c r="B420" s="968"/>
      <c r="C420" s="968"/>
      <c r="D420" s="968"/>
      <c r="E420" s="968"/>
      <c r="F420" s="833" t="s">
        <v>206</v>
      </c>
      <c r="G420" s="834"/>
      <c r="H420" s="834"/>
      <c r="I420" s="834"/>
      <c r="J420" s="834"/>
      <c r="K420" s="834"/>
      <c r="L420" s="834"/>
      <c r="M420" s="834"/>
      <c r="N420" s="834"/>
      <c r="O420" s="834"/>
      <c r="P420" s="834"/>
      <c r="Q420" s="834"/>
      <c r="R420" s="834"/>
      <c r="S420" s="834"/>
      <c r="T420" s="834"/>
      <c r="U420" s="834"/>
      <c r="V420" s="834"/>
      <c r="W420" s="835"/>
      <c r="X420" s="429"/>
      <c r="AA420" s="189"/>
      <c r="AH420" s="363"/>
    </row>
    <row r="421" spans="1:34" ht="15" customHeight="1">
      <c r="A421" s="805"/>
      <c r="B421" s="968"/>
      <c r="C421" s="968"/>
      <c r="D421" s="968"/>
      <c r="E421" s="968"/>
      <c r="F421" s="944">
        <v>0</v>
      </c>
      <c r="G421" s="945"/>
      <c r="H421" s="944">
        <v>10</v>
      </c>
      <c r="I421" s="945"/>
      <c r="J421" s="946"/>
      <c r="K421" s="944" t="s">
        <v>213</v>
      </c>
      <c r="L421" s="945"/>
      <c r="M421" s="945"/>
      <c r="N421" s="945"/>
      <c r="O421" s="946"/>
      <c r="P421" s="953" t="s">
        <v>214</v>
      </c>
      <c r="Q421" s="954"/>
      <c r="R421" s="954"/>
      <c r="S421" s="954"/>
      <c r="T421" s="955"/>
      <c r="U421" s="944">
        <v>10</v>
      </c>
      <c r="V421" s="945"/>
      <c r="W421" s="946"/>
      <c r="X421" s="429"/>
      <c r="AA421" s="189"/>
      <c r="AH421" s="363"/>
    </row>
    <row r="422" spans="1:34" ht="12.75" customHeight="1">
      <c r="A422" s="956" t="s">
        <v>247</v>
      </c>
      <c r="B422" s="778" t="s">
        <v>450</v>
      </c>
      <c r="C422" s="779"/>
      <c r="D422" s="779"/>
      <c r="E422" s="780"/>
      <c r="F422" s="845" t="s">
        <v>248</v>
      </c>
      <c r="G422" s="846"/>
      <c r="H422" s="761" t="s">
        <v>448</v>
      </c>
      <c r="I422" s="762"/>
      <c r="J422" s="763"/>
      <c r="K422" s="764" t="s">
        <v>312</v>
      </c>
      <c r="L422" s="765"/>
      <c r="M422" s="765"/>
      <c r="N422" s="765"/>
      <c r="O422" s="766"/>
      <c r="P422" s="761" t="s">
        <v>366</v>
      </c>
      <c r="Q422" s="762"/>
      <c r="R422" s="762"/>
      <c r="S422" s="762"/>
      <c r="T422" s="763"/>
      <c r="U422" s="761" t="s">
        <v>449</v>
      </c>
      <c r="V422" s="762"/>
      <c r="W422" s="763"/>
      <c r="X422" s="429"/>
      <c r="Y422" s="12"/>
      <c r="AA422" s="12"/>
      <c r="AH422" s="363"/>
    </row>
    <row r="423" spans="1:34" ht="12.75" customHeight="1">
      <c r="A423" s="957"/>
      <c r="B423" s="781"/>
      <c r="C423" s="782"/>
      <c r="D423" s="782"/>
      <c r="E423" s="783"/>
      <c r="F423" s="848"/>
      <c r="G423" s="849"/>
      <c r="H423" s="764"/>
      <c r="I423" s="765"/>
      <c r="J423" s="766"/>
      <c r="K423" s="764"/>
      <c r="L423" s="765"/>
      <c r="M423" s="765"/>
      <c r="N423" s="765"/>
      <c r="O423" s="766"/>
      <c r="P423" s="764"/>
      <c r="Q423" s="765"/>
      <c r="R423" s="765"/>
      <c r="S423" s="765"/>
      <c r="T423" s="766"/>
      <c r="U423" s="764"/>
      <c r="V423" s="765"/>
      <c r="W423" s="766"/>
      <c r="X423" s="429"/>
      <c r="Y423" s="12"/>
      <c r="AA423" s="12"/>
      <c r="AH423" s="363"/>
    </row>
    <row r="424" spans="1:34" ht="5.25" customHeight="1">
      <c r="A424" s="957"/>
      <c r="B424" s="781"/>
      <c r="C424" s="782"/>
      <c r="D424" s="782"/>
      <c r="E424" s="783"/>
      <c r="F424" s="848"/>
      <c r="G424" s="849"/>
      <c r="H424" s="764"/>
      <c r="I424" s="765"/>
      <c r="J424" s="766"/>
      <c r="K424" s="764"/>
      <c r="L424" s="765"/>
      <c r="M424" s="765"/>
      <c r="N424" s="765"/>
      <c r="O424" s="766"/>
      <c r="P424" s="764"/>
      <c r="Q424" s="765"/>
      <c r="R424" s="765"/>
      <c r="S424" s="765"/>
      <c r="T424" s="766"/>
      <c r="U424" s="947"/>
      <c r="V424" s="948"/>
      <c r="W424" s="949"/>
      <c r="X424" s="429"/>
      <c r="Y424" s="12"/>
      <c r="AA424" s="12"/>
      <c r="AH424" s="363"/>
    </row>
    <row r="425" spans="1:34" ht="12.75">
      <c r="A425" s="957"/>
      <c r="B425" s="781"/>
      <c r="C425" s="782"/>
      <c r="D425" s="782"/>
      <c r="E425" s="783"/>
      <c r="F425" s="393"/>
      <c r="G425" s="394"/>
      <c r="H425" s="935"/>
      <c r="I425" s="936"/>
      <c r="J425" s="937"/>
      <c r="K425" s="935" t="s">
        <v>482</v>
      </c>
      <c r="L425" s="936"/>
      <c r="M425" s="936"/>
      <c r="N425" s="936"/>
      <c r="O425" s="937"/>
      <c r="P425" s="935" t="s">
        <v>483</v>
      </c>
      <c r="Q425" s="936"/>
      <c r="R425" s="936"/>
      <c r="S425" s="936"/>
      <c r="T425" s="937"/>
      <c r="U425" s="947"/>
      <c r="V425" s="948"/>
      <c r="W425" s="949"/>
      <c r="X425" s="429"/>
      <c r="Y425" s="12"/>
      <c r="AH425" s="363"/>
    </row>
    <row r="426" spans="1:34" ht="12.75" customHeight="1">
      <c r="A426" s="957"/>
      <c r="B426" s="781"/>
      <c r="C426" s="782"/>
      <c r="D426" s="782"/>
      <c r="E426" s="783"/>
      <c r="F426" s="393"/>
      <c r="G426" s="394"/>
      <c r="H426" s="935"/>
      <c r="I426" s="936"/>
      <c r="J426" s="937"/>
      <c r="K426" s="935"/>
      <c r="L426" s="936"/>
      <c r="M426" s="936"/>
      <c r="N426" s="936"/>
      <c r="O426" s="937"/>
      <c r="P426" s="935"/>
      <c r="Q426" s="936"/>
      <c r="R426" s="936"/>
      <c r="S426" s="936"/>
      <c r="T426" s="937"/>
      <c r="U426" s="947"/>
      <c r="V426" s="948"/>
      <c r="W426" s="949"/>
      <c r="X426" s="429"/>
      <c r="Y426" s="12"/>
      <c r="AH426" s="363"/>
    </row>
    <row r="427" spans="1:34" ht="12.75" customHeight="1">
      <c r="A427" s="957"/>
      <c r="B427" s="781"/>
      <c r="C427" s="782"/>
      <c r="D427" s="782"/>
      <c r="E427" s="783"/>
      <c r="F427" s="393"/>
      <c r="G427" s="394"/>
      <c r="H427" s="935"/>
      <c r="I427" s="936"/>
      <c r="J427" s="937"/>
      <c r="K427" s="938" t="s">
        <v>446</v>
      </c>
      <c r="L427" s="939"/>
      <c r="M427" s="939"/>
      <c r="N427" s="939"/>
      <c r="O427" s="940"/>
      <c r="P427" s="938" t="s">
        <v>447</v>
      </c>
      <c r="Q427" s="939"/>
      <c r="R427" s="939"/>
      <c r="S427" s="939"/>
      <c r="T427" s="940"/>
      <c r="U427" s="947"/>
      <c r="V427" s="948"/>
      <c r="W427" s="949"/>
      <c r="X427" s="429"/>
      <c r="Y427" s="12"/>
      <c r="AH427" s="363"/>
    </row>
    <row r="428" spans="1:34" ht="12.75" customHeight="1">
      <c r="A428" s="957"/>
      <c r="B428" s="781"/>
      <c r="C428" s="782"/>
      <c r="D428" s="782"/>
      <c r="E428" s="783"/>
      <c r="F428" s="395"/>
      <c r="G428" s="396"/>
      <c r="H428" s="959"/>
      <c r="I428" s="960"/>
      <c r="J428" s="961"/>
      <c r="K428" s="941"/>
      <c r="L428" s="942"/>
      <c r="M428" s="942"/>
      <c r="N428" s="942"/>
      <c r="O428" s="943"/>
      <c r="P428" s="941"/>
      <c r="Q428" s="942"/>
      <c r="R428" s="942"/>
      <c r="S428" s="942"/>
      <c r="T428" s="943"/>
      <c r="U428" s="950"/>
      <c r="V428" s="951"/>
      <c r="W428" s="952"/>
      <c r="X428" s="429"/>
      <c r="Y428" s="12"/>
      <c r="AH428" s="363"/>
    </row>
    <row r="429" spans="1:34" ht="12.75" customHeight="1">
      <c r="A429" s="957"/>
      <c r="B429" s="962" t="str">
        <f>B353</f>
        <v>(далее – Прил. № 4)</v>
      </c>
      <c r="C429" s="963"/>
      <c r="D429" s="963"/>
      <c r="E429" s="964"/>
      <c r="F429" s="793">
        <f>IF(Y430=0,IF(FIO="","",0),"")</f>
      </c>
      <c r="G429" s="794"/>
      <c r="H429" s="772"/>
      <c r="I429" s="773"/>
      <c r="J429" s="774"/>
      <c r="K429" s="921"/>
      <c r="L429" s="922"/>
      <c r="M429" s="922"/>
      <c r="N429" s="922"/>
      <c r="O429" s="923"/>
      <c r="P429" s="921"/>
      <c r="Q429" s="922"/>
      <c r="R429" s="922"/>
      <c r="S429" s="922"/>
      <c r="T429" s="923"/>
      <c r="U429" s="772"/>
      <c r="V429" s="773"/>
      <c r="W429" s="774"/>
      <c r="X429" s="429"/>
      <c r="Z429" s="240" t="s">
        <v>208</v>
      </c>
      <c r="AA429" s="241" t="s">
        <v>283</v>
      </c>
      <c r="AE429" s="279" t="s">
        <v>3</v>
      </c>
      <c r="AF429" s="280" t="s">
        <v>2</v>
      </c>
      <c r="AH429" s="363"/>
    </row>
    <row r="430" spans="1:34" ht="12.75" customHeight="1">
      <c r="A430" s="958"/>
      <c r="B430" s="965"/>
      <c r="C430" s="966"/>
      <c r="D430" s="966"/>
      <c r="E430" s="967"/>
      <c r="F430" s="799"/>
      <c r="G430" s="800"/>
      <c r="H430" s="775"/>
      <c r="I430" s="776"/>
      <c r="J430" s="777"/>
      <c r="K430" s="775"/>
      <c r="L430" s="776"/>
      <c r="M430" s="776"/>
      <c r="N430" s="776"/>
      <c r="O430" s="777"/>
      <c r="P430" s="775"/>
      <c r="Q430" s="776"/>
      <c r="R430" s="776"/>
      <c r="S430" s="776"/>
      <c r="T430" s="777"/>
      <c r="U430" s="775"/>
      <c r="V430" s="776"/>
      <c r="W430" s="777"/>
      <c r="X430" s="429"/>
      <c r="Y430" s="256">
        <f>MAX(H429:W430)</f>
        <v>0</v>
      </c>
      <c r="Z430" s="242">
        <v>60</v>
      </c>
      <c r="AA430" s="259">
        <f>IF(z_kateg="высшая",AE430,AF430)</f>
        <v>10</v>
      </c>
      <c r="AE430" s="275">
        <v>30</v>
      </c>
      <c r="AF430" s="276">
        <v>10</v>
      </c>
      <c r="AH430" s="363"/>
    </row>
    <row r="431" spans="24:34" ht="6.75" customHeight="1">
      <c r="X431" s="429"/>
      <c r="AA431" s="189"/>
      <c r="AB431" s="189"/>
      <c r="AC431" s="189"/>
      <c r="AH431" s="363"/>
    </row>
    <row r="432" spans="1:34" ht="14.25">
      <c r="A432" s="252" t="s">
        <v>249</v>
      </c>
      <c r="B432" s="187" t="s">
        <v>250</v>
      </c>
      <c r="X432" s="429"/>
      <c r="AA432" s="189"/>
      <c r="AB432" s="189"/>
      <c r="AC432" s="189"/>
      <c r="AH432" s="363"/>
    </row>
    <row r="433" spans="1:34" ht="14.25">
      <c r="A433" s="803" t="s">
        <v>203</v>
      </c>
      <c r="B433" s="824" t="s">
        <v>204</v>
      </c>
      <c r="C433" s="825"/>
      <c r="D433" s="825"/>
      <c r="E433" s="825"/>
      <c r="F433" s="825"/>
      <c r="G433" s="825"/>
      <c r="H433" s="825"/>
      <c r="I433" s="825"/>
      <c r="J433" s="825"/>
      <c r="K433" s="826"/>
      <c r="L433" s="787" t="s">
        <v>205</v>
      </c>
      <c r="M433" s="788"/>
      <c r="N433" s="788"/>
      <c r="O433" s="788"/>
      <c r="P433" s="788"/>
      <c r="Q433" s="788"/>
      <c r="R433" s="788"/>
      <c r="S433" s="788"/>
      <c r="T433" s="788"/>
      <c r="U433" s="788"/>
      <c r="V433" s="788"/>
      <c r="W433" s="789"/>
      <c r="X433" s="429"/>
      <c r="AH433" s="363"/>
    </row>
    <row r="434" spans="1:34" ht="14.25" customHeight="1">
      <c r="A434" s="804"/>
      <c r="B434" s="827"/>
      <c r="C434" s="828"/>
      <c r="D434" s="828"/>
      <c r="E434" s="828"/>
      <c r="F434" s="828"/>
      <c r="G434" s="828"/>
      <c r="H434" s="828"/>
      <c r="I434" s="828"/>
      <c r="J434" s="828"/>
      <c r="K434" s="829"/>
      <c r="L434" s="833" t="s">
        <v>206</v>
      </c>
      <c r="M434" s="834"/>
      <c r="N434" s="834"/>
      <c r="O434" s="834"/>
      <c r="P434" s="834"/>
      <c r="Q434" s="834"/>
      <c r="R434" s="834"/>
      <c r="S434" s="834"/>
      <c r="T434" s="834"/>
      <c r="U434" s="834"/>
      <c r="V434" s="834"/>
      <c r="W434" s="835"/>
      <c r="X434" s="429"/>
      <c r="AH434" s="363"/>
    </row>
    <row r="435" spans="1:34" ht="14.25" customHeight="1">
      <c r="A435" s="805"/>
      <c r="B435" s="830"/>
      <c r="C435" s="831"/>
      <c r="D435" s="831"/>
      <c r="E435" s="831"/>
      <c r="F435" s="831"/>
      <c r="G435" s="831"/>
      <c r="H435" s="831"/>
      <c r="I435" s="831"/>
      <c r="J435" s="831"/>
      <c r="K435" s="832"/>
      <c r="L435" s="944">
        <v>0</v>
      </c>
      <c r="M435" s="945"/>
      <c r="N435" s="945"/>
      <c r="O435" s="946"/>
      <c r="P435" s="944">
        <v>20</v>
      </c>
      <c r="Q435" s="945"/>
      <c r="R435" s="945"/>
      <c r="S435" s="946"/>
      <c r="T435" s="821">
        <v>30</v>
      </c>
      <c r="U435" s="822"/>
      <c r="V435" s="822"/>
      <c r="W435" s="823"/>
      <c r="X435" s="429"/>
      <c r="AH435" s="363"/>
    </row>
    <row r="436" spans="1:34" ht="12.75" customHeight="1">
      <c r="A436" s="238" t="s">
        <v>251</v>
      </c>
      <c r="B436" s="778" t="s">
        <v>741</v>
      </c>
      <c r="C436" s="779"/>
      <c r="D436" s="779"/>
      <c r="E436" s="779"/>
      <c r="F436" s="779"/>
      <c r="G436" s="779"/>
      <c r="H436" s="779"/>
      <c r="I436" s="779"/>
      <c r="J436" s="779"/>
      <c r="K436" s="780"/>
      <c r="L436" s="1081" t="s">
        <v>369</v>
      </c>
      <c r="M436" s="1082"/>
      <c r="N436" s="1082"/>
      <c r="O436" s="1083"/>
      <c r="P436" s="761" t="s">
        <v>370</v>
      </c>
      <c r="Q436" s="762"/>
      <c r="R436" s="762"/>
      <c r="S436" s="763"/>
      <c r="T436" s="761" t="s">
        <v>453</v>
      </c>
      <c r="U436" s="762"/>
      <c r="V436" s="762"/>
      <c r="W436" s="763"/>
      <c r="X436" s="429"/>
      <c r="Y436" s="12"/>
      <c r="AA436" s="12"/>
      <c r="AB436" s="12"/>
      <c r="AC436" s="12"/>
      <c r="AH436" s="363"/>
    </row>
    <row r="437" spans="1:34" ht="12.75" customHeight="1">
      <c r="A437" s="292"/>
      <c r="B437" s="781"/>
      <c r="C437" s="782"/>
      <c r="D437" s="782"/>
      <c r="E437" s="782"/>
      <c r="F437" s="782"/>
      <c r="G437" s="782"/>
      <c r="H437" s="782"/>
      <c r="I437" s="782"/>
      <c r="J437" s="782"/>
      <c r="K437" s="783"/>
      <c r="L437" s="1084"/>
      <c r="M437" s="1085"/>
      <c r="N437" s="1085"/>
      <c r="O437" s="1086"/>
      <c r="P437" s="764"/>
      <c r="Q437" s="765"/>
      <c r="R437" s="765"/>
      <c r="S437" s="766"/>
      <c r="T437" s="764"/>
      <c r="U437" s="765"/>
      <c r="V437" s="765"/>
      <c r="W437" s="766"/>
      <c r="X437" s="429"/>
      <c r="Y437" s="12"/>
      <c r="AA437" s="12"/>
      <c r="AB437" s="12"/>
      <c r="AC437" s="12"/>
      <c r="AH437" s="363"/>
    </row>
    <row r="438" spans="1:34" ht="5.25" customHeight="1">
      <c r="A438" s="266"/>
      <c r="B438" s="781"/>
      <c r="C438" s="782"/>
      <c r="D438" s="782"/>
      <c r="E438" s="782"/>
      <c r="F438" s="782"/>
      <c r="G438" s="782"/>
      <c r="H438" s="782"/>
      <c r="I438" s="782"/>
      <c r="J438" s="782"/>
      <c r="K438" s="783"/>
      <c r="L438" s="1084"/>
      <c r="M438" s="1085"/>
      <c r="N438" s="1085"/>
      <c r="O438" s="1086"/>
      <c r="P438" s="764"/>
      <c r="Q438" s="765"/>
      <c r="R438" s="765"/>
      <c r="S438" s="766"/>
      <c r="T438" s="764"/>
      <c r="U438" s="765"/>
      <c r="V438" s="765"/>
      <c r="W438" s="766"/>
      <c r="X438" s="429"/>
      <c r="Y438" s="12"/>
      <c r="AA438" s="12"/>
      <c r="AB438" s="12"/>
      <c r="AC438" s="12"/>
      <c r="AH438" s="363"/>
    </row>
    <row r="439" spans="1:34" ht="14.25" customHeight="1">
      <c r="A439" s="267"/>
      <c r="B439" s="1125" t="s">
        <v>321</v>
      </c>
      <c r="C439" s="1126"/>
      <c r="D439" s="1126"/>
      <c r="E439" s="1126"/>
      <c r="F439" s="1126"/>
      <c r="G439" s="1126"/>
      <c r="H439" s="1126"/>
      <c r="I439" s="1126"/>
      <c r="J439" s="1126"/>
      <c r="K439" s="1127"/>
      <c r="L439" s="1084"/>
      <c r="M439" s="1085"/>
      <c r="N439" s="1085"/>
      <c r="O439" s="1086"/>
      <c r="P439" s="764"/>
      <c r="Q439" s="765"/>
      <c r="R439" s="765"/>
      <c r="S439" s="766"/>
      <c r="T439" s="764"/>
      <c r="U439" s="765"/>
      <c r="V439" s="765"/>
      <c r="W439" s="766"/>
      <c r="X439" s="429"/>
      <c r="Y439" s="12"/>
      <c r="AA439" s="12"/>
      <c r="AB439" s="12"/>
      <c r="AC439" s="12"/>
      <c r="AH439" s="363"/>
    </row>
    <row r="440" spans="1:34" ht="12.75" customHeight="1">
      <c r="A440" s="266"/>
      <c r="B440" s="895" t="s">
        <v>368</v>
      </c>
      <c r="C440" s="896"/>
      <c r="D440" s="896"/>
      <c r="E440" s="896"/>
      <c r="F440" s="896"/>
      <c r="G440" s="896"/>
      <c r="H440" s="896"/>
      <c r="I440" s="896"/>
      <c r="J440" s="896"/>
      <c r="K440" s="897"/>
      <c r="L440" s="1084"/>
      <c r="M440" s="1085"/>
      <c r="N440" s="1085"/>
      <c r="O440" s="1086"/>
      <c r="P440" s="764"/>
      <c r="Q440" s="765"/>
      <c r="R440" s="765"/>
      <c r="S440" s="766"/>
      <c r="T440" s="764"/>
      <c r="U440" s="765"/>
      <c r="V440" s="765"/>
      <c r="W440" s="766"/>
      <c r="X440" s="429"/>
      <c r="Y440" s="12"/>
      <c r="AH440" s="363"/>
    </row>
    <row r="441" spans="1:34" ht="12.75">
      <c r="A441" s="285"/>
      <c r="B441" s="895"/>
      <c r="C441" s="896"/>
      <c r="D441" s="896"/>
      <c r="E441" s="896"/>
      <c r="F441" s="896"/>
      <c r="G441" s="896"/>
      <c r="H441" s="896"/>
      <c r="I441" s="896"/>
      <c r="J441" s="896"/>
      <c r="K441" s="897"/>
      <c r="L441" s="793">
        <f>IF(Y442=0,IF(FIO="","",0),"")</f>
      </c>
      <c r="M441" s="794"/>
      <c r="N441" s="794"/>
      <c r="O441" s="795"/>
      <c r="P441" s="771"/>
      <c r="Q441" s="771"/>
      <c r="R441" s="771"/>
      <c r="S441" s="771"/>
      <c r="T441" s="771"/>
      <c r="U441" s="771"/>
      <c r="V441" s="771"/>
      <c r="W441" s="771"/>
      <c r="X441" s="429"/>
      <c r="Z441" s="240" t="s">
        <v>208</v>
      </c>
      <c r="AA441" s="241" t="s">
        <v>283</v>
      </c>
      <c r="AE441" s="279" t="s">
        <v>3</v>
      </c>
      <c r="AF441" s="280" t="s">
        <v>2</v>
      </c>
      <c r="AH441" s="363"/>
    </row>
    <row r="442" spans="1:34" ht="12.75">
      <c r="A442" s="286"/>
      <c r="B442" s="898"/>
      <c r="C442" s="899"/>
      <c r="D442" s="899"/>
      <c r="E442" s="899"/>
      <c r="F442" s="899"/>
      <c r="G442" s="899"/>
      <c r="H442" s="899"/>
      <c r="I442" s="899"/>
      <c r="J442" s="899"/>
      <c r="K442" s="900"/>
      <c r="L442" s="799"/>
      <c r="M442" s="800"/>
      <c r="N442" s="800"/>
      <c r="O442" s="801"/>
      <c r="P442" s="771"/>
      <c r="Q442" s="771"/>
      <c r="R442" s="771"/>
      <c r="S442" s="771"/>
      <c r="T442" s="771"/>
      <c r="U442" s="771"/>
      <c r="V442" s="771"/>
      <c r="W442" s="771"/>
      <c r="X442" s="429"/>
      <c r="Y442" s="256">
        <f>MAX(P441:W442)</f>
        <v>0</v>
      </c>
      <c r="Z442" s="242">
        <v>30</v>
      </c>
      <c r="AA442" s="259">
        <f>IF(z_kateg="высшая",AE442,AF442)</f>
        <v>0</v>
      </c>
      <c r="AE442" s="275">
        <v>0</v>
      </c>
      <c r="AF442" s="276">
        <v>0</v>
      </c>
      <c r="AH442" s="363"/>
    </row>
    <row r="443" spans="1:34" ht="14.25">
      <c r="A443" s="803" t="s">
        <v>203</v>
      </c>
      <c r="B443" s="824" t="s">
        <v>204</v>
      </c>
      <c r="C443" s="825"/>
      <c r="D443" s="825"/>
      <c r="E443" s="825"/>
      <c r="F443" s="825"/>
      <c r="G443" s="825"/>
      <c r="H443" s="825"/>
      <c r="I443" s="825"/>
      <c r="J443" s="825"/>
      <c r="K443" s="826"/>
      <c r="L443" s="787" t="s">
        <v>205</v>
      </c>
      <c r="M443" s="788"/>
      <c r="N443" s="788"/>
      <c r="O443" s="788"/>
      <c r="P443" s="788"/>
      <c r="Q443" s="788"/>
      <c r="R443" s="788"/>
      <c r="S443" s="788"/>
      <c r="T443" s="788"/>
      <c r="U443" s="788"/>
      <c r="V443" s="788"/>
      <c r="W443" s="789"/>
      <c r="X443" s="429"/>
      <c r="AH443" s="363"/>
    </row>
    <row r="444" spans="1:34" ht="14.25" customHeight="1">
      <c r="A444" s="804"/>
      <c r="B444" s="827"/>
      <c r="C444" s="828"/>
      <c r="D444" s="828"/>
      <c r="E444" s="828"/>
      <c r="F444" s="828"/>
      <c r="G444" s="828"/>
      <c r="H444" s="828"/>
      <c r="I444" s="828"/>
      <c r="J444" s="828"/>
      <c r="K444" s="829"/>
      <c r="L444" s="833" t="s">
        <v>206</v>
      </c>
      <c r="M444" s="834"/>
      <c r="N444" s="834"/>
      <c r="O444" s="834"/>
      <c r="P444" s="834"/>
      <c r="Q444" s="834"/>
      <c r="R444" s="834"/>
      <c r="S444" s="834"/>
      <c r="T444" s="834"/>
      <c r="U444" s="834"/>
      <c r="V444" s="834"/>
      <c r="W444" s="835"/>
      <c r="X444" s="429"/>
      <c r="AH444" s="363"/>
    </row>
    <row r="445" spans="1:34" ht="14.25" customHeight="1">
      <c r="A445" s="805"/>
      <c r="B445" s="830"/>
      <c r="C445" s="831"/>
      <c r="D445" s="831"/>
      <c r="E445" s="831"/>
      <c r="F445" s="831"/>
      <c r="G445" s="831"/>
      <c r="H445" s="831"/>
      <c r="I445" s="831"/>
      <c r="J445" s="831"/>
      <c r="K445" s="832"/>
      <c r="L445" s="944">
        <v>0</v>
      </c>
      <c r="M445" s="945"/>
      <c r="N445" s="945"/>
      <c r="O445" s="946"/>
      <c r="P445" s="944">
        <v>30</v>
      </c>
      <c r="Q445" s="945"/>
      <c r="R445" s="945"/>
      <c r="S445" s="946"/>
      <c r="T445" s="821">
        <v>50</v>
      </c>
      <c r="U445" s="822"/>
      <c r="V445" s="822"/>
      <c r="W445" s="823"/>
      <c r="X445" s="429"/>
      <c r="AH445" s="363"/>
    </row>
    <row r="446" spans="1:34" ht="12.75" customHeight="1">
      <c r="A446" s="238" t="s">
        <v>252</v>
      </c>
      <c r="B446" s="778" t="s">
        <v>367</v>
      </c>
      <c r="C446" s="779"/>
      <c r="D446" s="779"/>
      <c r="E446" s="779"/>
      <c r="F446" s="779"/>
      <c r="G446" s="779"/>
      <c r="H446" s="779"/>
      <c r="I446" s="779"/>
      <c r="J446" s="779"/>
      <c r="K446" s="780"/>
      <c r="L446" s="1081" t="s">
        <v>307</v>
      </c>
      <c r="M446" s="1082"/>
      <c r="N446" s="1082"/>
      <c r="O446" s="1083"/>
      <c r="P446" s="761" t="s">
        <v>253</v>
      </c>
      <c r="Q446" s="762"/>
      <c r="R446" s="762"/>
      <c r="S446" s="763"/>
      <c r="T446" s="761" t="s">
        <v>254</v>
      </c>
      <c r="U446" s="762"/>
      <c r="V446" s="762"/>
      <c r="W446" s="763"/>
      <c r="X446" s="429"/>
      <c r="Y446" s="12"/>
      <c r="AA446" s="12"/>
      <c r="AB446" s="12"/>
      <c r="AC446" s="12"/>
      <c r="AH446" s="363"/>
    </row>
    <row r="447" spans="1:34" ht="9.75" customHeight="1">
      <c r="A447" s="266"/>
      <c r="B447" s="781"/>
      <c r="C447" s="782"/>
      <c r="D447" s="782"/>
      <c r="E447" s="782"/>
      <c r="F447" s="782"/>
      <c r="G447" s="782"/>
      <c r="H447" s="782"/>
      <c r="I447" s="782"/>
      <c r="J447" s="782"/>
      <c r="K447" s="783"/>
      <c r="L447" s="1084"/>
      <c r="M447" s="1085"/>
      <c r="N447" s="1085"/>
      <c r="O447" s="1086"/>
      <c r="P447" s="764"/>
      <c r="Q447" s="765"/>
      <c r="R447" s="765"/>
      <c r="S447" s="766"/>
      <c r="T447" s="764"/>
      <c r="U447" s="765"/>
      <c r="V447" s="765"/>
      <c r="W447" s="766"/>
      <c r="X447" s="429"/>
      <c r="Y447" s="12"/>
      <c r="AA447" s="12"/>
      <c r="AB447" s="12"/>
      <c r="AC447" s="12"/>
      <c r="AH447" s="363"/>
    </row>
    <row r="448" spans="1:34" ht="14.25" customHeight="1">
      <c r="A448" s="267"/>
      <c r="B448" s="1125" t="s">
        <v>321</v>
      </c>
      <c r="C448" s="1126"/>
      <c r="D448" s="1126"/>
      <c r="E448" s="1126"/>
      <c r="F448" s="1126"/>
      <c r="G448" s="1126"/>
      <c r="H448" s="1126"/>
      <c r="I448" s="1126"/>
      <c r="J448" s="1126"/>
      <c r="K448" s="1127"/>
      <c r="L448" s="1084"/>
      <c r="M448" s="1085"/>
      <c r="N448" s="1085"/>
      <c r="O448" s="1086"/>
      <c r="P448" s="764"/>
      <c r="Q448" s="765"/>
      <c r="R448" s="765"/>
      <c r="S448" s="766"/>
      <c r="T448" s="764"/>
      <c r="U448" s="765"/>
      <c r="V448" s="765"/>
      <c r="W448" s="766"/>
      <c r="X448" s="429"/>
      <c r="Y448" s="12"/>
      <c r="AA448" s="12"/>
      <c r="AB448" s="12"/>
      <c r="AC448" s="12"/>
      <c r="AH448" s="363"/>
    </row>
    <row r="449" spans="1:34" ht="12.75" customHeight="1">
      <c r="A449" s="266"/>
      <c r="B449" s="895" t="s">
        <v>313</v>
      </c>
      <c r="C449" s="896"/>
      <c r="D449" s="896"/>
      <c r="E449" s="896"/>
      <c r="F449" s="896"/>
      <c r="G449" s="896"/>
      <c r="H449" s="896"/>
      <c r="I449" s="896"/>
      <c r="J449" s="896"/>
      <c r="K449" s="897"/>
      <c r="L449" s="1084"/>
      <c r="M449" s="1085"/>
      <c r="N449" s="1085"/>
      <c r="O449" s="1086"/>
      <c r="P449" s="764"/>
      <c r="Q449" s="765"/>
      <c r="R449" s="765"/>
      <c r="S449" s="766"/>
      <c r="T449" s="764"/>
      <c r="U449" s="765"/>
      <c r="V449" s="765"/>
      <c r="W449" s="766"/>
      <c r="X449" s="429"/>
      <c r="Y449" s="12"/>
      <c r="AH449" s="363"/>
    </row>
    <row r="450" spans="1:34" ht="4.5" customHeight="1">
      <c r="A450" s="267"/>
      <c r="B450" s="895"/>
      <c r="C450" s="896"/>
      <c r="D450" s="896"/>
      <c r="E450" s="896"/>
      <c r="F450" s="896"/>
      <c r="G450" s="896"/>
      <c r="H450" s="896"/>
      <c r="I450" s="896"/>
      <c r="J450" s="896"/>
      <c r="K450" s="897"/>
      <c r="L450" s="1087"/>
      <c r="M450" s="1088"/>
      <c r="N450" s="1088"/>
      <c r="O450" s="1089"/>
      <c r="P450" s="767"/>
      <c r="Q450" s="768"/>
      <c r="R450" s="768"/>
      <c r="S450" s="769"/>
      <c r="T450" s="767"/>
      <c r="U450" s="768"/>
      <c r="V450" s="768"/>
      <c r="W450" s="769"/>
      <c r="X450" s="429"/>
      <c r="Y450" s="12"/>
      <c r="AH450" s="363"/>
    </row>
    <row r="451" spans="1:34" ht="12.75" customHeight="1">
      <c r="A451" s="285"/>
      <c r="B451" s="895"/>
      <c r="C451" s="896"/>
      <c r="D451" s="896"/>
      <c r="E451" s="896"/>
      <c r="F451" s="896"/>
      <c r="G451" s="896"/>
      <c r="H451" s="896"/>
      <c r="I451" s="896"/>
      <c r="J451" s="896"/>
      <c r="K451" s="897"/>
      <c r="L451" s="793">
        <f>IF(Y452=0,IF(FIO="","",0),"")</f>
      </c>
      <c r="M451" s="794"/>
      <c r="N451" s="794"/>
      <c r="O451" s="795"/>
      <c r="P451" s="771"/>
      <c r="Q451" s="771"/>
      <c r="R451" s="771"/>
      <c r="S451" s="771"/>
      <c r="T451" s="771"/>
      <c r="U451" s="771"/>
      <c r="V451" s="771"/>
      <c r="W451" s="771"/>
      <c r="X451" s="429"/>
      <c r="Z451" s="240" t="s">
        <v>208</v>
      </c>
      <c r="AA451" s="241" t="s">
        <v>283</v>
      </c>
      <c r="AE451" s="279" t="s">
        <v>3</v>
      </c>
      <c r="AF451" s="280" t="s">
        <v>2</v>
      </c>
      <c r="AH451" s="363"/>
    </row>
    <row r="452" spans="1:34" ht="12.75" customHeight="1">
      <c r="A452" s="286"/>
      <c r="B452" s="898"/>
      <c r="C452" s="899"/>
      <c r="D452" s="899"/>
      <c r="E452" s="899"/>
      <c r="F452" s="899"/>
      <c r="G452" s="899"/>
      <c r="H452" s="899"/>
      <c r="I452" s="899"/>
      <c r="J452" s="899"/>
      <c r="K452" s="900"/>
      <c r="L452" s="799"/>
      <c r="M452" s="800"/>
      <c r="N452" s="800"/>
      <c r="O452" s="801"/>
      <c r="P452" s="771"/>
      <c r="Q452" s="771"/>
      <c r="R452" s="771"/>
      <c r="S452" s="771"/>
      <c r="T452" s="771"/>
      <c r="U452" s="771"/>
      <c r="V452" s="771"/>
      <c r="W452" s="771"/>
      <c r="X452" s="429"/>
      <c r="Y452" s="256">
        <f>MAX(P451:W452)</f>
        <v>0</v>
      </c>
      <c r="Z452" s="242">
        <v>50</v>
      </c>
      <c r="AA452" s="259">
        <f>IF(z_kateg="высшая",AE452,AF452)</f>
        <v>0</v>
      </c>
      <c r="AE452" s="275">
        <v>0</v>
      </c>
      <c r="AF452" s="276">
        <v>0</v>
      </c>
      <c r="AH452" s="363"/>
    </row>
    <row r="453" spans="1:34" ht="12.75" hidden="1">
      <c r="A453" s="5"/>
      <c r="X453" s="429"/>
      <c r="AH453" s="363"/>
    </row>
    <row r="454" spans="1:45" ht="14.25" customHeight="1" hidden="1">
      <c r="A454" s="363"/>
      <c r="B454" s="364"/>
      <c r="C454" s="364"/>
      <c r="D454" s="364"/>
      <c r="E454" s="364"/>
      <c r="F454" s="364"/>
      <c r="G454" s="364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  <c r="X454" s="429"/>
      <c r="Y454" s="363"/>
      <c r="Z454" s="363"/>
      <c r="AA454" s="363"/>
      <c r="AB454" s="363"/>
      <c r="AC454" s="363"/>
      <c r="AD454" s="363"/>
      <c r="AE454" s="363"/>
      <c r="AF454" s="363"/>
      <c r="AH454" s="363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</row>
    <row r="455" spans="1:34" ht="12.75">
      <c r="A455" s="270"/>
      <c r="B455" s="12"/>
      <c r="C455" s="12"/>
      <c r="D455" s="12"/>
      <c r="X455" s="429"/>
      <c r="AA455" s="240" t="s">
        <v>284</v>
      </c>
      <c r="AB455" s="240" t="s">
        <v>208</v>
      </c>
      <c r="AC455" s="240" t="s">
        <v>283</v>
      </c>
      <c r="AD455" s="280" t="s">
        <v>3</v>
      </c>
      <c r="AE455" s="280" t="s">
        <v>2</v>
      </c>
      <c r="AF455" s="162" t="s">
        <v>285</v>
      </c>
      <c r="AH455" s="363"/>
    </row>
    <row r="456" spans="1:34" ht="15">
      <c r="A456" s="239" t="s">
        <v>191</v>
      </c>
      <c r="B456" s="1008" t="s">
        <v>274</v>
      </c>
      <c r="C456" s="1008"/>
      <c r="D456" s="1008"/>
      <c r="E456" s="1008"/>
      <c r="F456" s="1008"/>
      <c r="G456" s="1008"/>
      <c r="H456" s="1008"/>
      <c r="I456" s="1008"/>
      <c r="J456" s="1008"/>
      <c r="X456" s="429"/>
      <c r="Y456" s="282" t="str">
        <f>A456</f>
        <v>4.</v>
      </c>
      <c r="Z456" s="260" t="s">
        <v>314</v>
      </c>
      <c r="AA456" s="257">
        <f>IF(Z459="нет",0,SUM(Y457:Y473))</f>
        <v>0</v>
      </c>
      <c r="AB456" s="258">
        <f>SUM(Z457:Z473)</f>
        <v>250</v>
      </c>
      <c r="AC456" s="274">
        <f>IF(G56="высшая",AD456,AE456)</f>
        <v>0</v>
      </c>
      <c r="AD456" s="275">
        <v>130</v>
      </c>
      <c r="AE456" s="276">
        <v>0</v>
      </c>
      <c r="AF456" s="273" t="b">
        <f>итого_4&gt;=AC456</f>
        <v>1</v>
      </c>
      <c r="AH456" s="363"/>
    </row>
    <row r="457" spans="24:34" ht="6.75" customHeight="1">
      <c r="X457" s="429"/>
      <c r="AH457" s="363"/>
    </row>
    <row r="458" spans="1:34" ht="14.25" customHeight="1">
      <c r="A458" s="803" t="s">
        <v>203</v>
      </c>
      <c r="B458" s="968" t="s">
        <v>204</v>
      </c>
      <c r="C458" s="968"/>
      <c r="D458" s="968"/>
      <c r="E458" s="968"/>
      <c r="F458" s="968"/>
      <c r="G458" s="968"/>
      <c r="H458" s="824" t="s">
        <v>205</v>
      </c>
      <c r="I458" s="825"/>
      <c r="J458" s="825"/>
      <c r="K458" s="825"/>
      <c r="L458" s="825"/>
      <c r="M458" s="825"/>
      <c r="N458" s="825"/>
      <c r="O458" s="825"/>
      <c r="P458" s="825"/>
      <c r="Q458" s="825"/>
      <c r="R458" s="825"/>
      <c r="S458" s="825"/>
      <c r="T458" s="825"/>
      <c r="U458" s="825"/>
      <c r="V458" s="825"/>
      <c r="W458" s="826"/>
      <c r="X458" s="429"/>
      <c r="Z458" s="5" t="s">
        <v>356</v>
      </c>
      <c r="AD458" s="350">
        <v>560</v>
      </c>
      <c r="AE458" s="351" t="s">
        <v>456</v>
      </c>
      <c r="AH458" s="363"/>
    </row>
    <row r="459" spans="1:34" ht="13.5" customHeight="1">
      <c r="A459" s="805"/>
      <c r="B459" s="968"/>
      <c r="C459" s="968"/>
      <c r="D459" s="968"/>
      <c r="E459" s="968"/>
      <c r="F459" s="968"/>
      <c r="G459" s="968"/>
      <c r="H459" s="830"/>
      <c r="I459" s="831"/>
      <c r="J459" s="831"/>
      <c r="K459" s="831"/>
      <c r="L459" s="831"/>
      <c r="M459" s="831"/>
      <c r="N459" s="831"/>
      <c r="O459" s="831"/>
      <c r="P459" s="831"/>
      <c r="Q459" s="831"/>
      <c r="R459" s="831"/>
      <c r="S459" s="831"/>
      <c r="T459" s="831"/>
      <c r="U459" s="831"/>
      <c r="V459" s="831"/>
      <c r="W459" s="832"/>
      <c r="X459" s="429"/>
      <c r="Z459" s="255" t="str">
        <f>'общие сведения'!G104</f>
        <v>нет</v>
      </c>
      <c r="AH459" s="363"/>
    </row>
    <row r="460" spans="1:34" ht="13.5" customHeight="1">
      <c r="A460" s="1039" t="s">
        <v>275</v>
      </c>
      <c r="B460" s="1010" t="s">
        <v>357</v>
      </c>
      <c r="C460" s="1010"/>
      <c r="D460" s="1010"/>
      <c r="E460" s="1010"/>
      <c r="F460" s="1010"/>
      <c r="G460" s="1010"/>
      <c r="H460" s="1002">
        <v>0</v>
      </c>
      <c r="I460" s="1002"/>
      <c r="J460" s="1002"/>
      <c r="K460" s="1002"/>
      <c r="L460" s="1002">
        <f>AC461</f>
        <v>50</v>
      </c>
      <c r="M460" s="1002"/>
      <c r="N460" s="1002"/>
      <c r="O460" s="1002"/>
      <c r="P460" s="1002">
        <f>AD461</f>
        <v>70</v>
      </c>
      <c r="Q460" s="1002"/>
      <c r="R460" s="1002"/>
      <c r="S460" s="1002"/>
      <c r="T460" s="1002">
        <f>AE461</f>
        <v>90</v>
      </c>
      <c r="U460" s="1002"/>
      <c r="V460" s="1002"/>
      <c r="W460" s="1002"/>
      <c r="X460" s="429"/>
      <c r="AH460" s="363"/>
    </row>
    <row r="461" spans="1:34" ht="13.5" customHeight="1">
      <c r="A461" s="1039"/>
      <c r="B461" s="1010"/>
      <c r="C461" s="1010"/>
      <c r="D461" s="1010"/>
      <c r="E461" s="1010"/>
      <c r="F461" s="1010"/>
      <c r="G461" s="1010"/>
      <c r="H461" s="1017" t="s">
        <v>358</v>
      </c>
      <c r="I461" s="1018"/>
      <c r="J461" s="1018"/>
      <c r="K461" s="1019"/>
      <c r="L461" s="1017" t="s">
        <v>359</v>
      </c>
      <c r="M461" s="1018"/>
      <c r="N461" s="1018"/>
      <c r="O461" s="1019"/>
      <c r="P461" s="1017" t="s">
        <v>360</v>
      </c>
      <c r="Q461" s="1018"/>
      <c r="R461" s="1018"/>
      <c r="S461" s="1019"/>
      <c r="T461" s="1017" t="s">
        <v>361</v>
      </c>
      <c r="U461" s="1018"/>
      <c r="V461" s="1018"/>
      <c r="W461" s="1019"/>
      <c r="X461" s="429"/>
      <c r="Z461" s="240" t="s">
        <v>208</v>
      </c>
      <c r="AA461" s="241" t="s">
        <v>283</v>
      </c>
      <c r="AC461" s="240">
        <v>50</v>
      </c>
      <c r="AD461" s="240">
        <v>70</v>
      </c>
      <c r="AE461" s="240">
        <v>90</v>
      </c>
      <c r="AH461" s="363"/>
    </row>
    <row r="462" spans="1:34" ht="13.5" customHeight="1">
      <c r="A462" s="1039"/>
      <c r="B462" s="1010"/>
      <c r="C462" s="1010"/>
      <c r="D462" s="1010"/>
      <c r="E462" s="1010"/>
      <c r="F462" s="1010"/>
      <c r="G462" s="1010"/>
      <c r="H462" s="793" t="str">
        <f>IF(Y462=0,IF(OR(FIO="",Z459="нет"),"-",0),"")</f>
        <v>-</v>
      </c>
      <c r="I462" s="794"/>
      <c r="J462" s="794"/>
      <c r="K462" s="795"/>
      <c r="L462" s="1006"/>
      <c r="M462" s="1006"/>
      <c r="N462" s="1006"/>
      <c r="O462" s="1006"/>
      <c r="P462" s="1006"/>
      <c r="Q462" s="1006"/>
      <c r="R462" s="1006"/>
      <c r="S462" s="1006"/>
      <c r="T462" s="1006"/>
      <c r="U462" s="1006"/>
      <c r="V462" s="1006"/>
      <c r="W462" s="1006"/>
      <c r="X462" s="429"/>
      <c r="Y462" s="256">
        <f>MAX(L462:W463)</f>
        <v>0</v>
      </c>
      <c r="Z462" s="242">
        <v>90</v>
      </c>
      <c r="AA462" s="259">
        <v>50</v>
      </c>
      <c r="AC462" s="179" t="str">
        <f>IF($Z$459="нет","-",AC461)</f>
        <v>-</v>
      </c>
      <c r="AD462" s="179" t="str">
        <f>IF($Z$459="нет","-",AD461)</f>
        <v>-</v>
      </c>
      <c r="AE462" s="179" t="str">
        <f>IF($Z$459="нет","-",AE461)</f>
        <v>-</v>
      </c>
      <c r="AH462" s="363"/>
    </row>
    <row r="463" spans="1:34" ht="13.5" customHeight="1">
      <c r="A463" s="1039"/>
      <c r="B463" s="1010"/>
      <c r="C463" s="1010"/>
      <c r="D463" s="1010"/>
      <c r="E463" s="1010"/>
      <c r="F463" s="1010"/>
      <c r="G463" s="1010"/>
      <c r="H463" s="799"/>
      <c r="I463" s="800"/>
      <c r="J463" s="800"/>
      <c r="K463" s="801"/>
      <c r="L463" s="771"/>
      <c r="M463" s="771"/>
      <c r="N463" s="771"/>
      <c r="O463" s="771"/>
      <c r="P463" s="771"/>
      <c r="Q463" s="771"/>
      <c r="R463" s="771"/>
      <c r="S463" s="771"/>
      <c r="T463" s="771"/>
      <c r="U463" s="771"/>
      <c r="V463" s="771"/>
      <c r="W463" s="771"/>
      <c r="X463" s="429"/>
      <c r="AH463" s="363"/>
    </row>
    <row r="464" spans="1:34" ht="13.5" customHeight="1">
      <c r="A464" s="1039" t="s">
        <v>362</v>
      </c>
      <c r="B464" s="1010" t="s">
        <v>363</v>
      </c>
      <c r="C464" s="1010"/>
      <c r="D464" s="1010"/>
      <c r="E464" s="1010"/>
      <c r="F464" s="1010"/>
      <c r="G464" s="1010"/>
      <c r="H464" s="1002">
        <v>0</v>
      </c>
      <c r="I464" s="1002"/>
      <c r="J464" s="1002"/>
      <c r="K464" s="1002"/>
      <c r="L464" s="1002">
        <f>AC464</f>
        <v>40</v>
      </c>
      <c r="M464" s="1002"/>
      <c r="N464" s="1002"/>
      <c r="O464" s="1002"/>
      <c r="P464" s="1002">
        <f>AD464</f>
        <v>60</v>
      </c>
      <c r="Q464" s="1002"/>
      <c r="R464" s="1002"/>
      <c r="S464" s="1002"/>
      <c r="T464" s="1002">
        <f>AE464</f>
        <v>80</v>
      </c>
      <c r="U464" s="1002"/>
      <c r="V464" s="1002"/>
      <c r="W464" s="1002"/>
      <c r="X464" s="429"/>
      <c r="AC464" s="240">
        <v>40</v>
      </c>
      <c r="AD464" s="240">
        <v>60</v>
      </c>
      <c r="AE464" s="240">
        <v>80</v>
      </c>
      <c r="AH464" s="363"/>
    </row>
    <row r="465" spans="1:34" ht="13.5" customHeight="1">
      <c r="A465" s="1039"/>
      <c r="B465" s="1010"/>
      <c r="C465" s="1010"/>
      <c r="D465" s="1010"/>
      <c r="E465" s="1010"/>
      <c r="F465" s="1010"/>
      <c r="G465" s="1010"/>
      <c r="H465" s="1017" t="s">
        <v>358</v>
      </c>
      <c r="I465" s="1018"/>
      <c r="J465" s="1018"/>
      <c r="K465" s="1019"/>
      <c r="L465" s="1017" t="s">
        <v>359</v>
      </c>
      <c r="M465" s="1018"/>
      <c r="N465" s="1018"/>
      <c r="O465" s="1019"/>
      <c r="P465" s="1017" t="s">
        <v>360</v>
      </c>
      <c r="Q465" s="1018"/>
      <c r="R465" s="1018"/>
      <c r="S465" s="1019"/>
      <c r="T465" s="1017" t="s">
        <v>361</v>
      </c>
      <c r="U465" s="1018"/>
      <c r="V465" s="1018"/>
      <c r="W465" s="1019"/>
      <c r="X465" s="429"/>
      <c r="AC465" s="179" t="str">
        <f>IF($Z$459="нет","-",AC464)</f>
        <v>-</v>
      </c>
      <c r="AD465" s="179" t="str">
        <f>IF($Z$459="нет","-",AD464)</f>
        <v>-</v>
      </c>
      <c r="AE465" s="179" t="str">
        <f>IF($Z$459="нет","-",AE464)</f>
        <v>-</v>
      </c>
      <c r="AH465" s="363"/>
    </row>
    <row r="466" spans="1:34" ht="12.75" customHeight="1">
      <c r="A466" s="1039"/>
      <c r="B466" s="1010"/>
      <c r="C466" s="1010"/>
      <c r="D466" s="1010"/>
      <c r="E466" s="1010"/>
      <c r="F466" s="1010"/>
      <c r="G466" s="1010"/>
      <c r="H466" s="793" t="str">
        <f>IF(Y466=0,IF(OR(FIO="",Z459="нет"),"-",0),"")</f>
        <v>-</v>
      </c>
      <c r="I466" s="794"/>
      <c r="J466" s="794"/>
      <c r="K466" s="795"/>
      <c r="L466" s="1006"/>
      <c r="M466" s="1006"/>
      <c r="N466" s="1006"/>
      <c r="O466" s="1006"/>
      <c r="P466" s="1006"/>
      <c r="Q466" s="1006"/>
      <c r="R466" s="1006"/>
      <c r="S466" s="1006"/>
      <c r="T466" s="1006"/>
      <c r="U466" s="1006"/>
      <c r="V466" s="1006"/>
      <c r="W466" s="1006"/>
      <c r="X466" s="429"/>
      <c r="Y466" s="256">
        <f>MAX(L466:W467)</f>
        <v>0</v>
      </c>
      <c r="Z466" s="242">
        <v>80</v>
      </c>
      <c r="AA466" s="259">
        <v>40</v>
      </c>
      <c r="AH466" s="363"/>
    </row>
    <row r="467" spans="1:34" ht="12.75" customHeight="1">
      <c r="A467" s="1039"/>
      <c r="B467" s="1010"/>
      <c r="C467" s="1010"/>
      <c r="D467" s="1010"/>
      <c r="E467" s="1010"/>
      <c r="F467" s="1010"/>
      <c r="G467" s="1010"/>
      <c r="H467" s="799"/>
      <c r="I467" s="800"/>
      <c r="J467" s="800"/>
      <c r="K467" s="801"/>
      <c r="L467" s="771"/>
      <c r="M467" s="771"/>
      <c r="N467" s="771"/>
      <c r="O467" s="771"/>
      <c r="P467" s="771"/>
      <c r="Q467" s="771"/>
      <c r="R467" s="771"/>
      <c r="S467" s="771"/>
      <c r="T467" s="771"/>
      <c r="U467" s="771"/>
      <c r="V467" s="771"/>
      <c r="W467" s="771"/>
      <c r="X467" s="429"/>
      <c r="AH467" s="363"/>
    </row>
    <row r="468" spans="1:34" ht="13.5" customHeight="1">
      <c r="A468" s="1039" t="s">
        <v>364</v>
      </c>
      <c r="B468" s="1010" t="s">
        <v>365</v>
      </c>
      <c r="C468" s="1010"/>
      <c r="D468" s="1010"/>
      <c r="E468" s="1010"/>
      <c r="F468" s="1010"/>
      <c r="G468" s="1010"/>
      <c r="H468" s="1002">
        <v>0</v>
      </c>
      <c r="I468" s="1002"/>
      <c r="J468" s="1002"/>
      <c r="K468" s="1002"/>
      <c r="L468" s="1002">
        <v>40</v>
      </c>
      <c r="M468" s="1002"/>
      <c r="N468" s="1002"/>
      <c r="O468" s="1002"/>
      <c r="P468" s="1002">
        <v>60</v>
      </c>
      <c r="Q468" s="1002"/>
      <c r="R468" s="1002"/>
      <c r="S468" s="1002"/>
      <c r="T468" s="1002">
        <v>80</v>
      </c>
      <c r="U468" s="1002"/>
      <c r="V468" s="1002"/>
      <c r="W468" s="1002"/>
      <c r="X468" s="429"/>
      <c r="AH468" s="363"/>
    </row>
    <row r="469" spans="1:34" ht="13.5" customHeight="1">
      <c r="A469" s="1039"/>
      <c r="B469" s="1010"/>
      <c r="C469" s="1010"/>
      <c r="D469" s="1010"/>
      <c r="E469" s="1010"/>
      <c r="F469" s="1010"/>
      <c r="G469" s="1010"/>
      <c r="H469" s="1017" t="s">
        <v>358</v>
      </c>
      <c r="I469" s="1018"/>
      <c r="J469" s="1018"/>
      <c r="K469" s="1019"/>
      <c r="L469" s="1017" t="s">
        <v>359</v>
      </c>
      <c r="M469" s="1018"/>
      <c r="N469" s="1018"/>
      <c r="O469" s="1019"/>
      <c r="P469" s="1017" t="s">
        <v>360</v>
      </c>
      <c r="Q469" s="1018"/>
      <c r="R469" s="1018"/>
      <c r="S469" s="1019"/>
      <c r="T469" s="1017" t="s">
        <v>361</v>
      </c>
      <c r="U469" s="1018"/>
      <c r="V469" s="1018"/>
      <c r="W469" s="1019"/>
      <c r="X469" s="429"/>
      <c r="AH469" s="363"/>
    </row>
    <row r="470" spans="1:34" ht="12.75" customHeight="1">
      <c r="A470" s="1039"/>
      <c r="B470" s="1010"/>
      <c r="C470" s="1010"/>
      <c r="D470" s="1010"/>
      <c r="E470" s="1010"/>
      <c r="F470" s="1010"/>
      <c r="G470" s="1010"/>
      <c r="H470" s="793" t="str">
        <f>IF(Y470=0,IF(OR(FIO="",Z459="нет"),"-",0),"")</f>
        <v>-</v>
      </c>
      <c r="I470" s="794"/>
      <c r="J470" s="794"/>
      <c r="K470" s="795"/>
      <c r="L470" s="1006"/>
      <c r="M470" s="1006"/>
      <c r="N470" s="1006"/>
      <c r="O470" s="1006"/>
      <c r="P470" s="1006"/>
      <c r="Q470" s="1006"/>
      <c r="R470" s="1006"/>
      <c r="S470" s="1006"/>
      <c r="T470" s="1006"/>
      <c r="U470" s="1006"/>
      <c r="V470" s="1006"/>
      <c r="W470" s="1006"/>
      <c r="X470" s="429"/>
      <c r="Y470" s="256">
        <f>MAX(L470:W471)</f>
        <v>0</v>
      </c>
      <c r="Z470" s="242">
        <v>80</v>
      </c>
      <c r="AA470" s="259">
        <v>40</v>
      </c>
      <c r="AH470" s="363"/>
    </row>
    <row r="471" spans="1:34" ht="12.75" customHeight="1">
      <c r="A471" s="1039"/>
      <c r="B471" s="1010"/>
      <c r="C471" s="1010"/>
      <c r="D471" s="1010"/>
      <c r="E471" s="1010"/>
      <c r="F471" s="1010"/>
      <c r="G471" s="1010"/>
      <c r="H471" s="799"/>
      <c r="I471" s="800"/>
      <c r="J471" s="800"/>
      <c r="K471" s="801"/>
      <c r="L471" s="771"/>
      <c r="M471" s="771"/>
      <c r="N471" s="771"/>
      <c r="O471" s="771"/>
      <c r="P471" s="771"/>
      <c r="Q471" s="771"/>
      <c r="R471" s="771"/>
      <c r="S471" s="771"/>
      <c r="T471" s="771"/>
      <c r="U471" s="771"/>
      <c r="V471" s="771"/>
      <c r="W471" s="771"/>
      <c r="X471" s="429"/>
      <c r="AH471" s="363"/>
    </row>
    <row r="472" spans="24:34" ht="12.75">
      <c r="X472" s="429"/>
      <c r="AH472" s="363"/>
    </row>
    <row r="473" spans="24:34" ht="12.75">
      <c r="X473" s="429"/>
      <c r="AH473" s="363"/>
    </row>
    <row r="474" spans="2:34" ht="14.25" customHeight="1">
      <c r="B474" s="249" t="s">
        <v>276</v>
      </c>
      <c r="X474" s="429"/>
      <c r="Y474" s="156"/>
      <c r="Z474" s="156"/>
      <c r="AA474" s="295" t="s">
        <v>454</v>
      </c>
      <c r="AB474" s="257">
        <f>итого_1+итого_2+итого_3</f>
        <v>0</v>
      </c>
      <c r="AC474" s="350">
        <v>720</v>
      </c>
      <c r="AE474" s="350">
        <v>540</v>
      </c>
      <c r="AF474" s="351" t="s">
        <v>322</v>
      </c>
      <c r="AH474" s="363"/>
    </row>
    <row r="475" spans="2:34" ht="4.5" customHeight="1">
      <c r="B475" s="215"/>
      <c r="X475" s="429"/>
      <c r="AH475" s="363"/>
    </row>
    <row r="476" spans="2:34" ht="14.25" customHeight="1">
      <c r="B476" s="1104" t="s">
        <v>255</v>
      </c>
      <c r="C476" s="1105"/>
      <c r="D476" s="1105"/>
      <c r="E476" s="1105"/>
      <c r="F476" s="1105"/>
      <c r="G476" s="1106"/>
      <c r="H476" s="1104" t="s">
        <v>256</v>
      </c>
      <c r="I476" s="1105"/>
      <c r="J476" s="1105"/>
      <c r="K476" s="1105"/>
      <c r="L476" s="1105"/>
      <c r="M476" s="1105"/>
      <c r="N476" s="1105"/>
      <c r="O476" s="1105"/>
      <c r="P476" s="1105"/>
      <c r="Q476" s="1105"/>
      <c r="R476" s="1105"/>
      <c r="S476" s="1106"/>
      <c r="X476" s="429"/>
      <c r="AA476" s="349" t="s">
        <v>455</v>
      </c>
      <c r="AH476" s="363"/>
    </row>
    <row r="477" spans="1:34" ht="14.25" customHeight="1">
      <c r="A477" s="5"/>
      <c r="B477" s="1020" t="s">
        <v>257</v>
      </c>
      <c r="C477" s="1021"/>
      <c r="D477" s="1021"/>
      <c r="E477" s="1021"/>
      <c r="F477" s="1021"/>
      <c r="G477" s="1022"/>
      <c r="H477" s="927">
        <f>IF(X43="# 1",AC477,порог_П)</f>
        <v>260</v>
      </c>
      <c r="I477" s="928"/>
      <c r="J477" s="928"/>
      <c r="K477" s="928"/>
      <c r="L477" s="928"/>
      <c r="M477" s="928"/>
      <c r="N477" s="928"/>
      <c r="O477" s="928"/>
      <c r="P477" s="928"/>
      <c r="Q477" s="928"/>
      <c r="R477" s="928"/>
      <c r="S477" s="929"/>
      <c r="X477" s="429"/>
      <c r="AA477" s="299">
        <f>'общие сведения'!M19</f>
        <v>210</v>
      </c>
      <c r="AB477" s="299">
        <f>'общие сведения'!M20</f>
        <v>270</v>
      </c>
      <c r="AC477" s="5" t="str">
        <f>AA477&amp;" / "&amp;AB477&amp;" *"</f>
        <v>210 / 270 *</v>
      </c>
      <c r="AD477" s="299">
        <f>порог_П</f>
        <v>260</v>
      </c>
      <c r="AE477" s="602" t="s">
        <v>677</v>
      </c>
      <c r="AH477" s="363"/>
    </row>
    <row r="478" spans="1:34" ht="14.25" customHeight="1">
      <c r="A478" s="5"/>
      <c r="B478" s="1020" t="s">
        <v>258</v>
      </c>
      <c r="C478" s="1021"/>
      <c r="D478" s="1021"/>
      <c r="E478" s="1021"/>
      <c r="F478" s="1021"/>
      <c r="G478" s="1022"/>
      <c r="H478" s="927">
        <f>IF(X43="# 1",AC478,порог_В)</f>
        <v>490</v>
      </c>
      <c r="I478" s="928"/>
      <c r="J478" s="928"/>
      <c r="K478" s="928"/>
      <c r="L478" s="928"/>
      <c r="M478" s="928"/>
      <c r="N478" s="928"/>
      <c r="O478" s="928"/>
      <c r="P478" s="928"/>
      <c r="Q478" s="928"/>
      <c r="R478" s="928"/>
      <c r="S478" s="929"/>
      <c r="X478" s="429"/>
      <c r="Y478" s="322">
        <f>IF(G56="первая","первой",IF(G56="высшая","высшей",""))</f>
      </c>
      <c r="AA478" s="299">
        <f>'общие сведения'!N19</f>
        <v>450</v>
      </c>
      <c r="AB478" s="299">
        <f>'общие сведения'!N20</f>
        <v>510</v>
      </c>
      <c r="AC478" s="5" t="str">
        <f>AA478&amp;" / "&amp;AB478&amp;" *"</f>
        <v>450 / 510 *</v>
      </c>
      <c r="AD478" s="299">
        <f>порог_В</f>
        <v>490</v>
      </c>
      <c r="AE478" s="602" t="s">
        <v>678</v>
      </c>
      <c r="AH478" s="363"/>
    </row>
    <row r="479" spans="1:34" ht="12.75" customHeight="1">
      <c r="A479" s="316"/>
      <c r="B479" s="316"/>
      <c r="C479" s="316"/>
      <c r="D479" s="316"/>
      <c r="E479" s="316"/>
      <c r="F479" s="316"/>
      <c r="G479" s="316"/>
      <c r="H479" s="316"/>
      <c r="I479" s="296"/>
      <c r="J479" s="296"/>
      <c r="L479" s="318"/>
      <c r="M479" s="318"/>
      <c r="N479" s="317"/>
      <c r="P479" s="318"/>
      <c r="Q479" s="317"/>
      <c r="R479" s="317"/>
      <c r="S479" s="12"/>
      <c r="X479" s="429"/>
      <c r="AA479" s="299"/>
      <c r="AH479" s="363"/>
    </row>
    <row r="480" spans="1:34" ht="12.75" customHeight="1">
      <c r="A480" s="316"/>
      <c r="B480" s="249" t="s">
        <v>280</v>
      </c>
      <c r="C480" s="316"/>
      <c r="D480" s="316"/>
      <c r="E480" s="316"/>
      <c r="F480" s="316"/>
      <c r="G480" s="316"/>
      <c r="H480" s="316"/>
      <c r="I480" s="296"/>
      <c r="J480" s="296"/>
      <c r="K480" s="318"/>
      <c r="L480" s="318"/>
      <c r="M480" s="318"/>
      <c r="N480" s="317"/>
      <c r="O480" s="318"/>
      <c r="P480" s="1023">
        <f>IF(FIO="","",Всего)</f>
      </c>
      <c r="Q480" s="1023"/>
      <c r="R480" s="314"/>
      <c r="S480" s="249" t="s">
        <v>259</v>
      </c>
      <c r="X480" s="429"/>
      <c r="AH480" s="363"/>
    </row>
    <row r="481" spans="24:34" ht="12.75">
      <c r="X481" s="429"/>
      <c r="AH481" s="363"/>
    </row>
    <row r="482" spans="1:34" ht="15">
      <c r="A482" s="190" t="s">
        <v>192</v>
      </c>
      <c r="B482" s="319"/>
      <c r="C482" s="319"/>
      <c r="D482" s="319"/>
      <c r="E482" s="319"/>
      <c r="F482" s="320"/>
      <c r="G482" s="320"/>
      <c r="H482" s="320"/>
      <c r="I482" s="320"/>
      <c r="J482" s="320"/>
      <c r="K482" s="228"/>
      <c r="L482" s="228" t="str">
        <f>Y482&amp;Y484</f>
        <v>учителя-логопеда_</v>
      </c>
      <c r="M482" s="203"/>
      <c r="N482" s="203"/>
      <c r="O482" s="320"/>
      <c r="P482" s="320"/>
      <c r="Q482" s="320"/>
      <c r="R482" s="320"/>
      <c r="S482" s="320"/>
      <c r="U482" s="321"/>
      <c r="V482" s="321"/>
      <c r="W482" s="388" t="s">
        <v>587</v>
      </c>
      <c r="X482" s="429"/>
      <c r="Y482" s="392" t="str">
        <f>IF(AND(AA35&lt;31,Y36=1),Y35,AE35)</f>
        <v>учителя-логопеда</v>
      </c>
      <c r="AH482" s="363"/>
    </row>
    <row r="483" spans="1:34" ht="9" customHeight="1">
      <c r="A483" s="190"/>
      <c r="B483" s="319"/>
      <c r="C483" s="319"/>
      <c r="D483" s="319"/>
      <c r="E483" s="319"/>
      <c r="F483" s="1141" t="s">
        <v>524</v>
      </c>
      <c r="G483" s="1141"/>
      <c r="H483" s="1141"/>
      <c r="I483" s="1141"/>
      <c r="J483" s="1141"/>
      <c r="K483" s="1141"/>
      <c r="L483" s="1141"/>
      <c r="M483" s="1141"/>
      <c r="N483" s="1141"/>
      <c r="O483" s="1141"/>
      <c r="P483" s="1141"/>
      <c r="Q483" s="1141"/>
      <c r="R483" s="1141"/>
      <c r="S483" s="1141"/>
      <c r="U483" s="321"/>
      <c r="V483" s="321"/>
      <c r="W483" s="388"/>
      <c r="X483" s="363"/>
      <c r="Y483" s="392"/>
      <c r="AH483" s="363"/>
    </row>
    <row r="484" spans="1:34" ht="15">
      <c r="A484" s="190" t="s">
        <v>586</v>
      </c>
      <c r="B484" s="319"/>
      <c r="C484" s="319"/>
      <c r="D484" s="319"/>
      <c r="E484" s="319"/>
      <c r="F484" s="319"/>
      <c r="G484" s="138"/>
      <c r="H484" s="441">
        <f>IF(OR(Всего="",FIO="",G56=""),"",Y478)</f>
      </c>
      <c r="I484" s="442"/>
      <c r="J484" s="442"/>
      <c r="K484" s="138"/>
      <c r="L484" s="191" t="s">
        <v>193</v>
      </c>
      <c r="M484" s="319"/>
      <c r="N484" s="319"/>
      <c r="O484" s="319"/>
      <c r="P484" s="319"/>
      <c r="Q484" s="319"/>
      <c r="R484" s="319"/>
      <c r="S484" s="319"/>
      <c r="T484" s="319"/>
      <c r="U484" s="319"/>
      <c r="V484" s="319"/>
      <c r="W484" s="319"/>
      <c r="X484" s="429"/>
      <c r="Y484" s="392" t="str">
        <f>Z82</f>
        <v>_</v>
      </c>
      <c r="AH484" s="363"/>
    </row>
    <row r="485" spans="24:34" ht="12.75">
      <c r="X485" s="429"/>
      <c r="AH485" s="363"/>
    </row>
    <row r="486" spans="1:34" ht="15">
      <c r="A486" s="599" t="s">
        <v>165</v>
      </c>
      <c r="X486" s="429"/>
      <c r="AH486" s="363"/>
    </row>
    <row r="487" spans="1:34" ht="3" customHeight="1">
      <c r="A487" s="299"/>
      <c r="B487" s="253"/>
      <c r="C487" s="299"/>
      <c r="D487" s="253"/>
      <c r="E487" s="253"/>
      <c r="F487" s="253"/>
      <c r="G487" s="253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429"/>
      <c r="AH487" s="363"/>
    </row>
    <row r="488" spans="1:34" ht="15" customHeight="1">
      <c r="A488" s="1046">
        <f>D87</f>
      </c>
      <c r="B488" s="1046"/>
      <c r="C488" s="1046"/>
      <c r="D488" s="1046"/>
      <c r="E488" s="1046"/>
      <c r="F488" s="1046"/>
      <c r="G488" s="1046"/>
      <c r="H488" s="1046"/>
      <c r="I488" s="1046"/>
      <c r="J488" s="1046"/>
      <c r="K488" s="1046"/>
      <c r="L488" s="1046"/>
      <c r="M488" s="1046"/>
      <c r="N488" s="1046"/>
      <c r="O488" s="1046"/>
      <c r="P488" s="1046"/>
      <c r="Q488" s="1046"/>
      <c r="R488" s="1046"/>
      <c r="S488" s="1046"/>
      <c r="T488" s="1046"/>
      <c r="U488" s="1046"/>
      <c r="V488" s="1046"/>
      <c r="W488" s="1046"/>
      <c r="X488" s="429"/>
      <c r="Y488" s="1045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88" s="1045"/>
      <c r="AA488" s="1045"/>
      <c r="AB488" s="1045"/>
      <c r="AC488" s="1045"/>
      <c r="AD488" s="1045"/>
      <c r="AE488" s="1045"/>
      <c r="AH488" s="363"/>
    </row>
    <row r="489" spans="1:34" ht="15" customHeight="1">
      <c r="A489" s="1046"/>
      <c r="B489" s="1046"/>
      <c r="C489" s="1046"/>
      <c r="D489" s="1046"/>
      <c r="E489" s="1046"/>
      <c r="F489" s="1046"/>
      <c r="G489" s="1046"/>
      <c r="H489" s="1046"/>
      <c r="I489" s="1046"/>
      <c r="J489" s="1046"/>
      <c r="K489" s="1046"/>
      <c r="L489" s="1046"/>
      <c r="M489" s="1046"/>
      <c r="N489" s="1046"/>
      <c r="O489" s="1046"/>
      <c r="P489" s="1046"/>
      <c r="Q489" s="1046"/>
      <c r="R489" s="1046"/>
      <c r="S489" s="1046"/>
      <c r="T489" s="1046"/>
      <c r="U489" s="1046"/>
      <c r="V489" s="1046"/>
      <c r="W489" s="1046"/>
      <c r="X489" s="429"/>
      <c r="Y489" s="1045"/>
      <c r="Z489" s="1045"/>
      <c r="AA489" s="1045"/>
      <c r="AB489" s="1045"/>
      <c r="AC489" s="1045"/>
      <c r="AD489" s="1045"/>
      <c r="AE489" s="1045"/>
      <c r="AF489" s="287"/>
      <c r="AG489" s="287"/>
      <c r="AH489" s="363"/>
    </row>
    <row r="490" spans="1:34" ht="15" customHeight="1">
      <c r="A490" s="1046"/>
      <c r="B490" s="1046"/>
      <c r="C490" s="1046"/>
      <c r="D490" s="1046"/>
      <c r="E490" s="1046"/>
      <c r="F490" s="1046"/>
      <c r="G490" s="1046"/>
      <c r="H490" s="1046"/>
      <c r="I490" s="1046"/>
      <c r="J490" s="1046"/>
      <c r="K490" s="1046"/>
      <c r="L490" s="1046"/>
      <c r="M490" s="1046"/>
      <c r="N490" s="1046"/>
      <c r="O490" s="1046"/>
      <c r="P490" s="1046"/>
      <c r="Q490" s="1046"/>
      <c r="R490" s="1046"/>
      <c r="S490" s="1046"/>
      <c r="T490" s="1046"/>
      <c r="U490" s="1046"/>
      <c r="V490" s="1046"/>
      <c r="W490" s="1046"/>
      <c r="X490" s="429"/>
      <c r="Y490" s="1045"/>
      <c r="Z490" s="1045"/>
      <c r="AA490" s="1045"/>
      <c r="AB490" s="1045"/>
      <c r="AC490" s="1045"/>
      <c r="AD490" s="1045"/>
      <c r="AE490" s="1045"/>
      <c r="AF490" s="287"/>
      <c r="AG490" s="287"/>
      <c r="AH490" s="363"/>
    </row>
    <row r="491" spans="1:34" ht="12.75" customHeight="1">
      <c r="A491" s="1046"/>
      <c r="B491" s="1046"/>
      <c r="C491" s="1046"/>
      <c r="D491" s="1046"/>
      <c r="E491" s="1046"/>
      <c r="F491" s="1046"/>
      <c r="G491" s="1046"/>
      <c r="H491" s="1046"/>
      <c r="I491" s="1046"/>
      <c r="J491" s="1046"/>
      <c r="K491" s="1046"/>
      <c r="L491" s="1046"/>
      <c r="M491" s="1046"/>
      <c r="N491" s="1046"/>
      <c r="O491" s="1046"/>
      <c r="P491" s="1046"/>
      <c r="Q491" s="1046"/>
      <c r="R491" s="1046"/>
      <c r="S491" s="1046"/>
      <c r="T491" s="1046"/>
      <c r="U491" s="1046"/>
      <c r="V491" s="1046"/>
      <c r="W491" s="1046"/>
      <c r="X491" s="429"/>
      <c r="Y491" s="1045"/>
      <c r="Z491" s="1045"/>
      <c r="AA491" s="1045"/>
      <c r="AB491" s="1045"/>
      <c r="AC491" s="1045"/>
      <c r="AD491" s="1045"/>
      <c r="AE491" s="1045"/>
      <c r="AF491" s="287"/>
      <c r="AG491" s="287"/>
      <c r="AH491" s="363"/>
    </row>
    <row r="492" spans="1:123" ht="15">
      <c r="A492" s="253"/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429"/>
      <c r="Y492" s="287"/>
      <c r="Z492" s="287"/>
      <c r="AA492" s="287"/>
      <c r="AB492" s="287"/>
      <c r="AC492" s="287"/>
      <c r="AD492" s="287"/>
      <c r="AE492" s="287"/>
      <c r="AF492" s="287"/>
      <c r="AG492" s="287"/>
      <c r="AH492" s="363"/>
      <c r="AI492" s="287"/>
      <c r="AJ492" s="287"/>
      <c r="AK492" s="287"/>
      <c r="AL492" s="287"/>
      <c r="AM492" s="287"/>
      <c r="AQ492" s="287"/>
      <c r="AR492" s="287"/>
      <c r="AS492" s="287"/>
      <c r="AT492" s="287"/>
      <c r="AU492" s="287"/>
      <c r="AV492" s="287"/>
      <c r="BD492" s="287"/>
      <c r="BE492" s="287"/>
      <c r="BF492" s="287"/>
      <c r="BG492" s="287"/>
      <c r="BH492" s="287"/>
      <c r="BI492" s="287"/>
      <c r="BJ492" s="287"/>
      <c r="BK492" s="287"/>
      <c r="BS492" s="287"/>
      <c r="BT492" s="287"/>
      <c r="BU492" s="287"/>
      <c r="BV492" s="287"/>
      <c r="BW492" s="287"/>
      <c r="BX492" s="287"/>
      <c r="BY492" s="287"/>
      <c r="BZ492" s="287"/>
      <c r="CH492" s="287"/>
      <c r="CI492" s="287"/>
      <c r="CJ492" s="287"/>
      <c r="CK492" s="287"/>
      <c r="CL492" s="287"/>
      <c r="CM492" s="287"/>
      <c r="CN492" s="287"/>
      <c r="CO492" s="287"/>
      <c r="CW492" s="287"/>
      <c r="CX492" s="287"/>
      <c r="CY492" s="287"/>
      <c r="CZ492" s="287"/>
      <c r="DA492" s="287"/>
      <c r="DB492" s="287"/>
      <c r="DC492" s="287"/>
      <c r="DD492" s="287"/>
      <c r="DL492" s="287"/>
      <c r="DM492" s="287"/>
      <c r="DN492" s="287"/>
      <c r="DO492" s="287"/>
      <c r="DP492" s="287"/>
      <c r="DQ492" s="287"/>
      <c r="DR492" s="287"/>
      <c r="DS492" s="287"/>
    </row>
    <row r="493" spans="1:123" ht="6" customHeight="1" hidden="1">
      <c r="A493" s="373"/>
      <c r="B493" s="373"/>
      <c r="C493" s="373"/>
      <c r="D493" s="373"/>
      <c r="E493" s="253"/>
      <c r="F493" s="253"/>
      <c r="G493" s="253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429"/>
      <c r="Y493" s="287"/>
      <c r="Z493" s="287"/>
      <c r="AA493" s="287"/>
      <c r="AB493" s="287"/>
      <c r="AC493" s="287"/>
      <c r="AD493" s="287"/>
      <c r="AE493" s="287"/>
      <c r="AF493" s="287"/>
      <c r="AG493" s="287"/>
      <c r="AH493" s="363"/>
      <c r="AI493" s="287"/>
      <c r="AJ493" s="287"/>
      <c r="AK493" s="287"/>
      <c r="AL493" s="287"/>
      <c r="AM493" s="287"/>
      <c r="AQ493" s="287"/>
      <c r="AR493" s="287"/>
      <c r="AS493" s="287"/>
      <c r="AT493" s="287"/>
      <c r="AU493" s="287"/>
      <c r="AV493" s="287"/>
      <c r="BD493" s="287"/>
      <c r="BE493" s="287"/>
      <c r="BF493" s="287"/>
      <c r="BG493" s="287"/>
      <c r="BH493" s="287"/>
      <c r="BI493" s="287"/>
      <c r="BJ493" s="287"/>
      <c r="BK493" s="287"/>
      <c r="BS493" s="287"/>
      <c r="BT493" s="287"/>
      <c r="BU493" s="287"/>
      <c r="BV493" s="287"/>
      <c r="BW493" s="287"/>
      <c r="BX493" s="287"/>
      <c r="BY493" s="287"/>
      <c r="BZ493" s="287"/>
      <c r="CH493" s="287"/>
      <c r="CI493" s="287"/>
      <c r="CJ493" s="287"/>
      <c r="CK493" s="287"/>
      <c r="CL493" s="287"/>
      <c r="CM493" s="287"/>
      <c r="CN493" s="287"/>
      <c r="CO493" s="287"/>
      <c r="CW493" s="287"/>
      <c r="CX493" s="287"/>
      <c r="CY493" s="287"/>
      <c r="CZ493" s="287"/>
      <c r="DA493" s="287"/>
      <c r="DB493" s="287"/>
      <c r="DC493" s="287"/>
      <c r="DD493" s="287"/>
      <c r="DL493" s="287"/>
      <c r="DM493" s="287"/>
      <c r="DN493" s="287"/>
      <c r="DO493" s="287"/>
      <c r="DP493" s="287"/>
      <c r="DQ493" s="287"/>
      <c r="DR493" s="287"/>
      <c r="DS493" s="287"/>
    </row>
    <row r="494" spans="1:123" ht="15" customHeight="1" hidden="1">
      <c r="A494" s="372" t="s">
        <v>209</v>
      </c>
      <c r="B494" s="1009"/>
      <c r="C494" s="1009"/>
      <c r="D494" s="1009"/>
      <c r="E494" s="1009"/>
      <c r="F494" s="1009"/>
      <c r="G494" s="1009"/>
      <c r="H494" s="1009"/>
      <c r="I494" s="1009"/>
      <c r="J494" s="1009"/>
      <c r="K494" s="1009"/>
      <c r="L494" s="1009"/>
      <c r="M494" s="1009"/>
      <c r="N494" s="1009"/>
      <c r="O494" s="1009"/>
      <c r="P494" s="1009"/>
      <c r="Q494" s="1009"/>
      <c r="R494" s="1009"/>
      <c r="S494" s="1009"/>
      <c r="T494" s="1009"/>
      <c r="U494" s="1009"/>
      <c r="V494" s="1009"/>
      <c r="W494" s="1009"/>
      <c r="X494" s="429"/>
      <c r="Y494" s="287"/>
      <c r="Z494" s="287"/>
      <c r="AA494" s="287"/>
      <c r="AB494" s="287"/>
      <c r="AC494" s="287"/>
      <c r="AD494" s="287"/>
      <c r="AE494" s="287"/>
      <c r="AF494" s="287"/>
      <c r="AG494" s="287"/>
      <c r="AH494" s="363"/>
      <c r="AI494" s="287"/>
      <c r="AJ494" s="287"/>
      <c r="AK494" s="287"/>
      <c r="AL494" s="287"/>
      <c r="AM494" s="287"/>
      <c r="AQ494" s="287"/>
      <c r="AR494" s="287"/>
      <c r="AS494" s="287"/>
      <c r="AT494" s="287"/>
      <c r="AU494" s="287"/>
      <c r="AV494" s="287"/>
      <c r="BD494" s="287"/>
      <c r="BE494" s="287"/>
      <c r="BF494" s="287"/>
      <c r="BG494" s="287"/>
      <c r="BH494" s="287"/>
      <c r="BI494" s="287"/>
      <c r="BJ494" s="287"/>
      <c r="BK494" s="287"/>
      <c r="BS494" s="287"/>
      <c r="BT494" s="287"/>
      <c r="BU494" s="287"/>
      <c r="BV494" s="287"/>
      <c r="BW494" s="287"/>
      <c r="BX494" s="287"/>
      <c r="BY494" s="287"/>
      <c r="BZ494" s="287"/>
      <c r="CH494" s="287"/>
      <c r="CI494" s="287"/>
      <c r="CJ494" s="287"/>
      <c r="CK494" s="287"/>
      <c r="CL494" s="287"/>
      <c r="CM494" s="287"/>
      <c r="CN494" s="287"/>
      <c r="CO494" s="287"/>
      <c r="CW494" s="287"/>
      <c r="CX494" s="287"/>
      <c r="CY494" s="287"/>
      <c r="CZ494" s="287"/>
      <c r="DA494" s="287"/>
      <c r="DB494" s="287"/>
      <c r="DC494" s="287"/>
      <c r="DD494" s="287"/>
      <c r="DL494" s="287"/>
      <c r="DM494" s="287"/>
      <c r="DN494" s="287"/>
      <c r="DO494" s="287"/>
      <c r="DP494" s="287"/>
      <c r="DQ494" s="287"/>
      <c r="DR494" s="287"/>
      <c r="DS494" s="287"/>
    </row>
    <row r="495" spans="1:123" ht="32.25" customHeight="1" hidden="1">
      <c r="A495" s="5"/>
      <c r="B495" s="1009"/>
      <c r="C495" s="1009"/>
      <c r="D495" s="1009"/>
      <c r="E495" s="1009"/>
      <c r="F495" s="1009"/>
      <c r="G495" s="1009"/>
      <c r="H495" s="1009"/>
      <c r="I495" s="1009"/>
      <c r="J495" s="1009"/>
      <c r="K495" s="1009"/>
      <c r="L495" s="1009"/>
      <c r="M495" s="1009"/>
      <c r="N495" s="1009"/>
      <c r="O495" s="1009"/>
      <c r="P495" s="1009"/>
      <c r="Q495" s="1009"/>
      <c r="R495" s="1009"/>
      <c r="S495" s="1009"/>
      <c r="T495" s="1009"/>
      <c r="U495" s="1009"/>
      <c r="V495" s="1009"/>
      <c r="W495" s="1009"/>
      <c r="X495" s="429"/>
      <c r="Y495" s="287"/>
      <c r="Z495" s="287"/>
      <c r="AA495" s="287"/>
      <c r="AB495" s="287"/>
      <c r="AC495" s="287"/>
      <c r="AD495" s="287"/>
      <c r="AE495" s="287"/>
      <c r="AF495" s="287"/>
      <c r="AG495" s="287"/>
      <c r="AH495" s="363"/>
      <c r="AI495" s="287"/>
      <c r="AJ495" s="287"/>
      <c r="AK495" s="287"/>
      <c r="AL495" s="287"/>
      <c r="AM495" s="287"/>
      <c r="AQ495" s="287"/>
      <c r="AR495" s="287"/>
      <c r="AS495" s="287"/>
      <c r="AT495" s="287"/>
      <c r="AU495" s="287"/>
      <c r="AV495" s="287"/>
      <c r="BD495" s="287"/>
      <c r="BE495" s="287"/>
      <c r="BF495" s="287"/>
      <c r="BG495" s="287"/>
      <c r="BH495" s="287"/>
      <c r="BI495" s="287"/>
      <c r="BJ495" s="287"/>
      <c r="BK495" s="287"/>
      <c r="BS495" s="287"/>
      <c r="BT495" s="287"/>
      <c r="BU495" s="287"/>
      <c r="BV495" s="287"/>
      <c r="BW495" s="287"/>
      <c r="BX495" s="287"/>
      <c r="BY495" s="287"/>
      <c r="BZ495" s="287"/>
      <c r="CH495" s="287"/>
      <c r="CI495" s="287"/>
      <c r="CJ495" s="287"/>
      <c r="CK495" s="287"/>
      <c r="CL495" s="287"/>
      <c r="CM495" s="287"/>
      <c r="CN495" s="287"/>
      <c r="CO495" s="287"/>
      <c r="CW495" s="287"/>
      <c r="CX495" s="287"/>
      <c r="CY495" s="287"/>
      <c r="CZ495" s="287"/>
      <c r="DA495" s="287"/>
      <c r="DB495" s="287"/>
      <c r="DC495" s="287"/>
      <c r="DD495" s="287"/>
      <c r="DL495" s="287"/>
      <c r="DM495" s="287"/>
      <c r="DN495" s="287"/>
      <c r="DO495" s="287"/>
      <c r="DP495" s="287"/>
      <c r="DQ495" s="287"/>
      <c r="DR495" s="287"/>
      <c r="DS495" s="287"/>
    </row>
    <row r="496" spans="1:123" ht="3.75" customHeight="1">
      <c r="A496" s="429"/>
      <c r="B496" s="429"/>
      <c r="C496" s="429"/>
      <c r="D496" s="429"/>
      <c r="E496" s="429"/>
      <c r="F496" s="429"/>
      <c r="G496" s="429"/>
      <c r="H496" s="429"/>
      <c r="I496" s="429"/>
      <c r="J496" s="429"/>
      <c r="K496" s="429"/>
      <c r="L496" s="429"/>
      <c r="M496" s="429"/>
      <c r="N496" s="429"/>
      <c r="O496" s="429"/>
      <c r="P496" s="429"/>
      <c r="Q496" s="429"/>
      <c r="R496" s="429"/>
      <c r="S496" s="429"/>
      <c r="T496" s="429"/>
      <c r="U496" s="429"/>
      <c r="V496" s="429"/>
      <c r="W496" s="429"/>
      <c r="X496" s="429"/>
      <c r="Y496" s="287"/>
      <c r="Z496" s="287"/>
      <c r="AA496" s="287"/>
      <c r="AB496" s="287"/>
      <c r="AC496" s="287"/>
      <c r="AD496" s="287"/>
      <c r="AE496" s="287"/>
      <c r="AF496" s="287"/>
      <c r="AG496" s="287"/>
      <c r="AH496" s="363"/>
      <c r="AQ496" s="287"/>
      <c r="AR496" s="287"/>
      <c r="AS496" s="287"/>
      <c r="AT496" s="287"/>
      <c r="AU496" s="287"/>
      <c r="AV496" s="287"/>
      <c r="BD496" s="287"/>
      <c r="BE496" s="287"/>
      <c r="BF496" s="287"/>
      <c r="BG496" s="287"/>
      <c r="BH496" s="287"/>
      <c r="BI496" s="287"/>
      <c r="BJ496" s="287"/>
      <c r="BK496" s="287"/>
      <c r="BS496" s="287"/>
      <c r="BT496" s="287"/>
      <c r="BU496" s="287"/>
      <c r="BV496" s="287"/>
      <c r="BW496" s="287"/>
      <c r="BX496" s="287"/>
      <c r="BY496" s="287"/>
      <c r="BZ496" s="287"/>
      <c r="CH496" s="287"/>
      <c r="CI496" s="287"/>
      <c r="CJ496" s="287"/>
      <c r="CK496" s="287"/>
      <c r="CL496" s="287"/>
      <c r="CM496" s="287"/>
      <c r="CN496" s="287"/>
      <c r="CO496" s="287"/>
      <c r="CW496" s="287"/>
      <c r="CX496" s="287"/>
      <c r="CY496" s="287"/>
      <c r="CZ496" s="287"/>
      <c r="DA496" s="287"/>
      <c r="DB496" s="287"/>
      <c r="DC496" s="287"/>
      <c r="DD496" s="287"/>
      <c r="DL496" s="287"/>
      <c r="DM496" s="287"/>
      <c r="DN496" s="287"/>
      <c r="DO496" s="287"/>
      <c r="DP496" s="287"/>
      <c r="DQ496" s="287"/>
      <c r="DR496" s="287"/>
      <c r="DS496" s="287"/>
    </row>
    <row r="497" spans="1:34" ht="18.75">
      <c r="A497" s="498">
        <f>SUM(A498:A510)</f>
        <v>2</v>
      </c>
      <c r="B497" s="1007" t="str">
        <f>IF(A497=12,"Экспертное заключение ГОТОВО к печати","ЭЗ не готово к печати")</f>
        <v>ЭЗ не готово к печати</v>
      </c>
      <c r="C497" s="1007"/>
      <c r="D497" s="1007"/>
      <c r="E497" s="1007"/>
      <c r="F497" s="1007"/>
      <c r="G497" s="1007"/>
      <c r="H497" s="1007"/>
      <c r="I497" s="1007"/>
      <c r="J497" s="1007"/>
      <c r="K497" s="1007"/>
      <c r="L497" s="1007"/>
      <c r="M497" s="1007"/>
      <c r="N497" s="1007"/>
      <c r="O497" s="1007"/>
      <c r="P497" s="1007"/>
      <c r="Q497" s="1007"/>
      <c r="R497" s="1007"/>
      <c r="S497" s="1007"/>
      <c r="T497" s="1007"/>
      <c r="U497" s="1007"/>
      <c r="V497" s="1007"/>
      <c r="W497" s="499"/>
      <c r="X497" s="429"/>
      <c r="Y497" s="287"/>
      <c r="Z497" s="287"/>
      <c r="AA497" s="287"/>
      <c r="AB497" s="287"/>
      <c r="AC497" s="287"/>
      <c r="AD497" s="287"/>
      <c r="AE497" s="287"/>
      <c r="AF497" s="287"/>
      <c r="AG497" s="287"/>
      <c r="AH497" s="363"/>
    </row>
    <row r="498" spans="1:34" ht="15">
      <c r="A498" s="430">
        <f>IF(M498=" + ",1,0)</f>
        <v>0</v>
      </c>
      <c r="B498" s="431" t="s">
        <v>9</v>
      </c>
      <c r="C498" s="431"/>
      <c r="D498" s="431"/>
      <c r="E498" s="431"/>
      <c r="F498" s="431"/>
      <c r="G498" s="431"/>
      <c r="H498" s="431"/>
      <c r="I498" s="431"/>
      <c r="J498" s="431"/>
      <c r="K498" s="431"/>
      <c r="L498" s="431"/>
      <c r="M498" s="432" t="str">
        <f>IF(FIO&lt;&gt;""," + ","не заполнено")</f>
        <v>не заполнено</v>
      </c>
      <c r="N498" s="431"/>
      <c r="O498" s="431"/>
      <c r="P498" s="431"/>
      <c r="Q498" s="431"/>
      <c r="R498" s="431"/>
      <c r="S498" s="431"/>
      <c r="T498" s="431"/>
      <c r="U498" s="431"/>
      <c r="V498" s="431"/>
      <c r="W498" s="431"/>
      <c r="X498" s="429"/>
      <c r="Y498" s="287"/>
      <c r="Z498" s="287"/>
      <c r="AA498" s="287"/>
      <c r="AB498" s="287"/>
      <c r="AC498" s="287"/>
      <c r="AD498" s="287"/>
      <c r="AE498" s="287"/>
      <c r="AF498" s="287"/>
      <c r="AG498" s="287"/>
      <c r="AH498" s="363"/>
    </row>
    <row r="499" spans="1:34" ht="15">
      <c r="A499" s="430">
        <f aca="true" t="shared" si="1" ref="A499:A510">IF(M499=" + ",1,0)</f>
        <v>0</v>
      </c>
      <c r="B499" s="433" t="s">
        <v>11</v>
      </c>
      <c r="C499" s="433"/>
      <c r="D499" s="433"/>
      <c r="E499" s="433"/>
      <c r="F499" s="433"/>
      <c r="G499" s="433"/>
      <c r="H499" s="433"/>
      <c r="I499" s="433"/>
      <c r="J499" s="433"/>
      <c r="K499" s="433"/>
      <c r="L499" s="433"/>
      <c r="M499" s="434" t="str">
        <f>IF(C48&lt;&gt;""," + ","не заполнено")</f>
        <v>не заполнено</v>
      </c>
      <c r="N499" s="433"/>
      <c r="O499" s="433"/>
      <c r="P499" s="433"/>
      <c r="Q499" s="433"/>
      <c r="R499" s="433"/>
      <c r="S499" s="433"/>
      <c r="T499" s="433"/>
      <c r="U499" s="433"/>
      <c r="V499" s="433"/>
      <c r="W499" s="433"/>
      <c r="X499" s="429"/>
      <c r="Y499" s="287"/>
      <c r="Z499" s="287"/>
      <c r="AA499" s="287"/>
      <c r="AB499" s="287"/>
      <c r="AC499" s="287"/>
      <c r="AD499" s="287"/>
      <c r="AE499" s="287"/>
      <c r="AF499" s="287"/>
      <c r="AG499" s="287"/>
      <c r="AH499" s="363"/>
    </row>
    <row r="500" spans="1:34" ht="15">
      <c r="A500" s="430">
        <f t="shared" si="1"/>
        <v>0</v>
      </c>
      <c r="B500" s="433" t="s">
        <v>10</v>
      </c>
      <c r="C500" s="433"/>
      <c r="D500" s="433"/>
      <c r="E500" s="433"/>
      <c r="F500" s="433"/>
      <c r="G500" s="433"/>
      <c r="H500" s="433"/>
      <c r="I500" s="433"/>
      <c r="J500" s="433"/>
      <c r="K500" s="433"/>
      <c r="L500" s="433"/>
      <c r="M500" s="434" t="str">
        <f>IF(E51&lt;&gt;""," + ","не заполнено")</f>
        <v>не заполнено</v>
      </c>
      <c r="N500" s="433"/>
      <c r="O500" s="433"/>
      <c r="P500" s="433"/>
      <c r="Q500" s="433"/>
      <c r="R500" s="433"/>
      <c r="S500" s="433"/>
      <c r="T500" s="433"/>
      <c r="U500" s="433"/>
      <c r="V500" s="433"/>
      <c r="W500" s="433"/>
      <c r="X500" s="429"/>
      <c r="Y500" s="287"/>
      <c r="Z500" s="287"/>
      <c r="AA500" s="287"/>
      <c r="AB500" s="287"/>
      <c r="AC500" s="287"/>
      <c r="AD500" s="287"/>
      <c r="AE500" s="287"/>
      <c r="AF500" s="287"/>
      <c r="AG500" s="287"/>
      <c r="AH500" s="363"/>
    </row>
    <row r="501" spans="1:34" ht="15">
      <c r="A501" s="430">
        <f t="shared" si="1"/>
        <v>0</v>
      </c>
      <c r="B501" s="433" t="s">
        <v>12</v>
      </c>
      <c r="C501" s="433"/>
      <c r="D501" s="433"/>
      <c r="E501" s="433"/>
      <c r="F501" s="433"/>
      <c r="G501" s="433"/>
      <c r="H501" s="433"/>
      <c r="I501" s="433"/>
      <c r="J501" s="433"/>
      <c r="K501" s="433"/>
      <c r="L501" s="433"/>
      <c r="M501" s="434" t="str">
        <f>IF(D52&lt;&gt;""," + ","не заполнено")</f>
        <v>не заполнено</v>
      </c>
      <c r="N501" s="433"/>
      <c r="O501" s="433"/>
      <c r="P501" s="433"/>
      <c r="Q501" s="433"/>
      <c r="R501" s="433"/>
      <c r="S501" s="433"/>
      <c r="T501" s="433"/>
      <c r="U501" s="433"/>
      <c r="V501" s="433"/>
      <c r="W501" s="433"/>
      <c r="X501" s="429"/>
      <c r="Y501" s="287"/>
      <c r="Z501" s="287"/>
      <c r="AA501" s="287"/>
      <c r="AB501" s="287"/>
      <c r="AC501" s="287"/>
      <c r="AD501" s="287"/>
      <c r="AE501" s="287"/>
      <c r="AF501" s="287"/>
      <c r="AG501" s="287"/>
      <c r="AH501" s="363"/>
    </row>
    <row r="502" spans="1:34" ht="15">
      <c r="A502" s="430">
        <f t="shared" si="1"/>
        <v>1</v>
      </c>
      <c r="B502" s="433" t="s">
        <v>14</v>
      </c>
      <c r="C502" s="433"/>
      <c r="D502" s="433"/>
      <c r="E502" s="433"/>
      <c r="F502" s="433"/>
      <c r="G502" s="433"/>
      <c r="H502" s="433"/>
      <c r="I502" s="433"/>
      <c r="J502" s="433"/>
      <c r="K502" s="433"/>
      <c r="L502" s="433"/>
      <c r="M502" s="434" t="str">
        <f>IF(E54&gt;0," + ","не заполнено")</f>
        <v> + </v>
      </c>
      <c r="N502" s="433"/>
      <c r="O502" s="433"/>
      <c r="P502" s="433"/>
      <c r="Q502" s="433"/>
      <c r="R502" s="433"/>
      <c r="S502" s="433"/>
      <c r="T502" s="433"/>
      <c r="U502" s="433"/>
      <c r="V502" s="433"/>
      <c r="W502" s="433"/>
      <c r="X502" s="429"/>
      <c r="Y502" s="287"/>
      <c r="Z502" s="287"/>
      <c r="AA502" s="287"/>
      <c r="AB502" s="287"/>
      <c r="AC502" s="287"/>
      <c r="AD502" s="287"/>
      <c r="AE502" s="287"/>
      <c r="AF502" s="287"/>
      <c r="AG502" s="287"/>
      <c r="AH502" s="363"/>
    </row>
    <row r="503" spans="1:34" ht="15">
      <c r="A503" s="430">
        <f t="shared" si="1"/>
        <v>0</v>
      </c>
      <c r="B503" s="433" t="s">
        <v>15</v>
      </c>
      <c r="C503" s="433"/>
      <c r="D503" s="433"/>
      <c r="E503" s="433"/>
      <c r="F503" s="433"/>
      <c r="G503" s="433"/>
      <c r="H503" s="433"/>
      <c r="I503" s="433"/>
      <c r="J503" s="433"/>
      <c r="K503" s="433"/>
      <c r="L503" s="433"/>
      <c r="M503" s="434" t="str">
        <f>IF(G55&lt;&gt;""," + ","не заполнено")</f>
        <v>не заполнено</v>
      </c>
      <c r="N503" s="433"/>
      <c r="O503" s="433"/>
      <c r="P503" s="433"/>
      <c r="Q503" s="433"/>
      <c r="R503" s="433"/>
      <c r="S503" s="433"/>
      <c r="T503" s="433"/>
      <c r="U503" s="433"/>
      <c r="V503" s="433"/>
      <c r="W503" s="433"/>
      <c r="X503" s="429"/>
      <c r="Y503" s="287"/>
      <c r="Z503" s="287"/>
      <c r="AA503" s="287"/>
      <c r="AB503" s="287"/>
      <c r="AC503" s="287"/>
      <c r="AD503" s="287"/>
      <c r="AE503" s="287"/>
      <c r="AF503" s="287"/>
      <c r="AG503" s="287"/>
      <c r="AH503" s="363"/>
    </row>
    <row r="504" spans="1:34" ht="15">
      <c r="A504" s="430">
        <f t="shared" si="1"/>
        <v>0</v>
      </c>
      <c r="B504" s="433" t="s">
        <v>16</v>
      </c>
      <c r="C504" s="433"/>
      <c r="D504" s="433"/>
      <c r="E504" s="433"/>
      <c r="F504" s="433"/>
      <c r="G504" s="433"/>
      <c r="H504" s="433"/>
      <c r="I504" s="433"/>
      <c r="J504" s="433"/>
      <c r="K504" s="433"/>
      <c r="L504" s="433"/>
      <c r="M504" s="434" t="str">
        <f>IF(P55&lt;&gt;""," + ",IF(G55="нет"," + ","не заполнено"))</f>
        <v>не заполнено</v>
      </c>
      <c r="N504" s="433"/>
      <c r="O504" s="433"/>
      <c r="P504" s="433"/>
      <c r="Q504" s="433"/>
      <c r="R504" s="433"/>
      <c r="S504" s="433"/>
      <c r="T504" s="433"/>
      <c r="U504" s="433"/>
      <c r="V504" s="433"/>
      <c r="W504" s="433"/>
      <c r="X504" s="429"/>
      <c r="Y504" s="287"/>
      <c r="Z504" s="287"/>
      <c r="AA504" s="287"/>
      <c r="AB504" s="287"/>
      <c r="AC504" s="287"/>
      <c r="AD504" s="287"/>
      <c r="AE504" s="287"/>
      <c r="AF504" s="287"/>
      <c r="AG504" s="287"/>
      <c r="AH504" s="363"/>
    </row>
    <row r="505" spans="1:34" ht="15">
      <c r="A505" s="430">
        <f t="shared" si="1"/>
        <v>0</v>
      </c>
      <c r="B505" s="433" t="s">
        <v>18</v>
      </c>
      <c r="C505" s="433"/>
      <c r="D505" s="433"/>
      <c r="E505" s="433"/>
      <c r="F505" s="433"/>
      <c r="G505" s="433"/>
      <c r="H505" s="433"/>
      <c r="I505" s="433"/>
      <c r="J505" s="433"/>
      <c r="K505" s="433"/>
      <c r="L505" s="433"/>
      <c r="M505" s="434" t="str">
        <f>IF(z_kateg&lt;&gt;""," + ","-")</f>
        <v>-</v>
      </c>
      <c r="N505" s="64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05" s="433"/>
      <c r="P505" s="433"/>
      <c r="Q505" s="433"/>
      <c r="R505" s="433"/>
      <c r="S505" s="433"/>
      <c r="T505" s="433"/>
      <c r="U505" s="433"/>
      <c r="V505" s="433"/>
      <c r="W505" s="433"/>
      <c r="X505" s="429"/>
      <c r="Y505" s="287"/>
      <c r="Z505" s="287"/>
      <c r="AA505" s="287"/>
      <c r="AB505" s="287"/>
      <c r="AC505" s="287"/>
      <c r="AD505" s="287"/>
      <c r="AE505" s="287"/>
      <c r="AF505" s="287"/>
      <c r="AG505" s="287"/>
      <c r="AH505" s="363"/>
    </row>
    <row r="506" spans="1:34" ht="15">
      <c r="A506" s="430">
        <f t="shared" si="1"/>
        <v>0</v>
      </c>
      <c r="B506" s="433" t="s">
        <v>244</v>
      </c>
      <c r="C506" s="433"/>
      <c r="D506" s="433"/>
      <c r="E506" s="433"/>
      <c r="F506" s="433"/>
      <c r="G506" s="433"/>
      <c r="H506" s="433"/>
      <c r="I506" s="433"/>
      <c r="J506" s="433"/>
      <c r="K506" s="433"/>
      <c r="L506" s="433"/>
      <c r="M506" s="434" t="str">
        <f>IF(H92&lt;&gt;""," + ","не заполнено")</f>
        <v>не заполнено</v>
      </c>
      <c r="N506" s="433"/>
      <c r="O506" s="433"/>
      <c r="P506" s="433"/>
      <c r="Q506" s="433"/>
      <c r="R506" s="433"/>
      <c r="S506" s="433"/>
      <c r="T506" s="433"/>
      <c r="U506" s="433"/>
      <c r="V506" s="433"/>
      <c r="W506" s="433"/>
      <c r="X506" s="429"/>
      <c r="Y506" s="287"/>
      <c r="Z506" s="287"/>
      <c r="AA506" s="287"/>
      <c r="AB506" s="287"/>
      <c r="AC506" s="287"/>
      <c r="AD506" s="287"/>
      <c r="AE506" s="287"/>
      <c r="AF506" s="287"/>
      <c r="AG506" s="287"/>
      <c r="AH506" s="363"/>
    </row>
    <row r="507" spans="1:34" ht="15">
      <c r="A507" s="430">
        <f t="shared" si="1"/>
        <v>0</v>
      </c>
      <c r="B507" s="433" t="s">
        <v>261</v>
      </c>
      <c r="C507" s="433"/>
      <c r="D507" s="433"/>
      <c r="E507" s="433"/>
      <c r="F507" s="433"/>
      <c r="G507" s="433"/>
      <c r="H507" s="433"/>
      <c r="I507" s="433"/>
      <c r="J507" s="433"/>
      <c r="K507" s="435" t="s">
        <v>53</v>
      </c>
      <c r="L507" s="433"/>
      <c r="M507" s="434" t="str">
        <f>IF(H94&lt;&gt;""," + ","не заполнено")</f>
        <v>не заполнено</v>
      </c>
      <c r="N507" s="433"/>
      <c r="O507" s="433"/>
      <c r="P507" s="433"/>
      <c r="Q507" s="433"/>
      <c r="R507" s="433"/>
      <c r="S507" s="433"/>
      <c r="T507" s="433"/>
      <c r="U507" s="433"/>
      <c r="V507" s="433"/>
      <c r="W507" s="433"/>
      <c r="X507" s="429"/>
      <c r="Y507" s="287"/>
      <c r="Z507" s="287"/>
      <c r="AA507" s="287"/>
      <c r="AB507" s="287"/>
      <c r="AC507" s="287"/>
      <c r="AD507" s="287"/>
      <c r="AE507" s="287"/>
      <c r="AF507" s="287"/>
      <c r="AG507" s="287"/>
      <c r="AH507" s="363"/>
    </row>
    <row r="508" spans="1:34" ht="15">
      <c r="A508" s="430">
        <f t="shared" si="1"/>
        <v>1</v>
      </c>
      <c r="B508" s="433"/>
      <c r="C508" s="433"/>
      <c r="D508" s="433"/>
      <c r="E508" s="433"/>
      <c r="F508" s="433"/>
      <c r="G508" s="433"/>
      <c r="H508" s="433"/>
      <c r="I508" s="433"/>
      <c r="J508" s="433"/>
      <c r="K508" s="435" t="s">
        <v>262</v>
      </c>
      <c r="L508" s="433"/>
      <c r="M508" s="434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508" s="433"/>
      <c r="O508" s="433"/>
      <c r="P508" s="433"/>
      <c r="Q508" s="433"/>
      <c r="R508" s="433"/>
      <c r="S508" s="433"/>
      <c r="T508" s="433"/>
      <c r="U508" s="433"/>
      <c r="V508" s="433"/>
      <c r="W508" s="433"/>
      <c r="X508" s="429"/>
      <c r="Y508" s="287"/>
      <c r="Z508" s="287"/>
      <c r="AA508" s="287"/>
      <c r="AB508" s="287"/>
      <c r="AC508" s="287"/>
      <c r="AD508" s="287"/>
      <c r="AE508" s="287"/>
      <c r="AF508" s="287"/>
      <c r="AG508" s="287"/>
      <c r="AH508" s="363"/>
    </row>
    <row r="509" spans="1:34" ht="2.25" customHeight="1">
      <c r="A509" s="430">
        <f>IF(M509=" + ",1,0)</f>
        <v>0</v>
      </c>
      <c r="B509" s="433"/>
      <c r="C509" s="433"/>
      <c r="D509" s="433"/>
      <c r="E509" s="433"/>
      <c r="F509" s="433"/>
      <c r="G509" s="433"/>
      <c r="H509" s="433"/>
      <c r="I509" s="433"/>
      <c r="J509" s="433"/>
      <c r="K509" s="433"/>
      <c r="L509" s="433"/>
      <c r="M509" s="436"/>
      <c r="N509" s="433"/>
      <c r="O509" s="433"/>
      <c r="P509" s="433"/>
      <c r="Q509" s="433"/>
      <c r="R509" s="433"/>
      <c r="S509" s="433"/>
      <c r="T509" s="433"/>
      <c r="U509" s="433"/>
      <c r="V509" s="433"/>
      <c r="W509" s="433"/>
      <c r="X509" s="429"/>
      <c r="Y509" s="287"/>
      <c r="Z509" s="287"/>
      <c r="AA509" s="287"/>
      <c r="AB509" s="287"/>
      <c r="AC509" s="287"/>
      <c r="AD509" s="287"/>
      <c r="AE509" s="287"/>
      <c r="AF509" s="287"/>
      <c r="AG509" s="287"/>
      <c r="AH509" s="363"/>
    </row>
    <row r="510" spans="1:34" ht="15">
      <c r="A510" s="430">
        <f t="shared" si="1"/>
        <v>0</v>
      </c>
      <c r="B510" s="433" t="s">
        <v>263</v>
      </c>
      <c r="C510" s="433"/>
      <c r="D510" s="433"/>
      <c r="E510" s="433"/>
      <c r="F510" s="433"/>
      <c r="G510" s="433"/>
      <c r="H510" s="433"/>
      <c r="I510" s="433"/>
      <c r="J510" s="433"/>
      <c r="K510" s="433"/>
      <c r="L510" s="433"/>
      <c r="M510" s="434" t="str">
        <f>IF(Всего&lt;&gt;""," + ","не заполнено - подсчет автоматический")</f>
        <v>не заполнено - подсчет автоматический</v>
      </c>
      <c r="N510" s="433"/>
      <c r="O510" s="433"/>
      <c r="P510" s="433"/>
      <c r="Q510" s="433"/>
      <c r="R510" s="433"/>
      <c r="S510" s="433"/>
      <c r="T510" s="433"/>
      <c r="U510" s="433"/>
      <c r="V510" s="433"/>
      <c r="W510" s="433"/>
      <c r="X510" s="429"/>
      <c r="Y510" s="287"/>
      <c r="Z510" s="287"/>
      <c r="AA510" s="287"/>
      <c r="AB510" s="287"/>
      <c r="AC510" s="287"/>
      <c r="AD510" s="287"/>
      <c r="AE510" s="287"/>
      <c r="AF510" s="287"/>
      <c r="AG510" s="287"/>
      <c r="AH510" s="363"/>
    </row>
    <row r="511" spans="1:34" ht="6" customHeight="1">
      <c r="A511" s="430"/>
      <c r="B511" s="437"/>
      <c r="C511" s="437"/>
      <c r="D511" s="437"/>
      <c r="E511" s="437"/>
      <c r="F511" s="437"/>
      <c r="G511" s="437"/>
      <c r="H511" s="437"/>
      <c r="I511" s="437"/>
      <c r="J511" s="437"/>
      <c r="K511" s="437"/>
      <c r="L511" s="437"/>
      <c r="M511" s="438"/>
      <c r="N511" s="437"/>
      <c r="O511" s="437"/>
      <c r="P511" s="437"/>
      <c r="Q511" s="437"/>
      <c r="R511" s="437"/>
      <c r="S511" s="437"/>
      <c r="T511" s="437"/>
      <c r="U511" s="437"/>
      <c r="V511" s="437"/>
      <c r="W511" s="437"/>
      <c r="X511" s="429"/>
      <c r="Y511" s="287"/>
      <c r="Z511" s="287"/>
      <c r="AA511" s="287"/>
      <c r="AB511" s="287"/>
      <c r="AC511" s="287"/>
      <c r="AD511" s="287"/>
      <c r="AE511" s="287"/>
      <c r="AF511" s="287"/>
      <c r="AG511" s="287"/>
      <c r="AH511" s="363"/>
    </row>
    <row r="512" spans="1:123" ht="12.75">
      <c r="A512" s="439"/>
      <c r="B512" s="440" t="str">
        <f>IF($B$497="Экспертное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12" s="363"/>
      <c r="D512" s="363"/>
      <c r="E512" s="363"/>
      <c r="F512" s="363"/>
      <c r="G512" s="363"/>
      <c r="H512" s="363"/>
      <c r="I512" s="363"/>
      <c r="J512" s="363"/>
      <c r="K512" s="363"/>
      <c r="L512" s="363"/>
      <c r="M512" s="363"/>
      <c r="N512" s="363"/>
      <c r="O512" s="363"/>
      <c r="P512" s="363"/>
      <c r="Q512" s="363"/>
      <c r="R512" s="363"/>
      <c r="S512" s="363"/>
      <c r="T512" s="363"/>
      <c r="U512" s="363"/>
      <c r="V512" s="363"/>
      <c r="W512" s="363"/>
      <c r="X512" s="429"/>
      <c r="Y512" s="287"/>
      <c r="Z512" s="287"/>
      <c r="AA512" s="287"/>
      <c r="AB512" s="287"/>
      <c r="AC512" s="287"/>
      <c r="AD512" s="287"/>
      <c r="AE512" s="287"/>
      <c r="AF512" s="287"/>
      <c r="AG512" s="287"/>
      <c r="AH512" s="363"/>
      <c r="AQ512" s="287"/>
      <c r="AR512" s="287"/>
      <c r="AS512" s="287"/>
      <c r="AT512" s="287"/>
      <c r="AU512" s="287"/>
      <c r="AV512" s="287"/>
      <c r="BD512" s="287"/>
      <c r="BE512" s="287"/>
      <c r="BF512" s="287"/>
      <c r="BG512" s="287"/>
      <c r="BH512" s="287"/>
      <c r="BI512" s="287"/>
      <c r="BJ512" s="287"/>
      <c r="BK512" s="287"/>
      <c r="BS512" s="287"/>
      <c r="BT512" s="287"/>
      <c r="BU512" s="287"/>
      <c r="BV512" s="287"/>
      <c r="BW512" s="287"/>
      <c r="BX512" s="287"/>
      <c r="BY512" s="287"/>
      <c r="BZ512" s="287"/>
      <c r="CH512" s="287"/>
      <c r="CI512" s="287"/>
      <c r="CJ512" s="287"/>
      <c r="CK512" s="287"/>
      <c r="CL512" s="287"/>
      <c r="CM512" s="287"/>
      <c r="CN512" s="287"/>
      <c r="CO512" s="287"/>
      <c r="CW512" s="287"/>
      <c r="CX512" s="287"/>
      <c r="CY512" s="287"/>
      <c r="CZ512" s="287"/>
      <c r="DA512" s="287"/>
      <c r="DB512" s="287"/>
      <c r="DC512" s="287"/>
      <c r="DD512" s="287"/>
      <c r="DL512" s="287"/>
      <c r="DM512" s="287"/>
      <c r="DN512" s="287"/>
      <c r="DO512" s="287"/>
      <c r="DP512" s="287"/>
      <c r="DQ512" s="287"/>
      <c r="DR512" s="287"/>
      <c r="DS512" s="287"/>
    </row>
    <row r="513" spans="1:34" ht="12.75">
      <c r="A513" s="439"/>
      <c r="B513" s="440">
        <f>IF($B$497="Экспертное заключение ГОТОВО к печати"," Печать ЭЗ:    меню Файл-Печать   или    комбинация клавиш  CTRL+P. ","")</f>
      </c>
      <c r="C513" s="363"/>
      <c r="D513" s="363"/>
      <c r="E513" s="363"/>
      <c r="F513" s="363"/>
      <c r="G513" s="363"/>
      <c r="H513" s="363"/>
      <c r="I513" s="363"/>
      <c r="J513" s="363"/>
      <c r="K513" s="363"/>
      <c r="L513" s="363"/>
      <c r="M513" s="363"/>
      <c r="N513" s="363"/>
      <c r="O513" s="363"/>
      <c r="P513" s="363"/>
      <c r="Q513" s="363"/>
      <c r="R513" s="363"/>
      <c r="S513" s="363"/>
      <c r="T513" s="363"/>
      <c r="U513" s="363"/>
      <c r="V513" s="363"/>
      <c r="W513" s="363"/>
      <c r="X513" s="429"/>
      <c r="Y513" s="287"/>
      <c r="Z513" s="287"/>
      <c r="AA513" s="287"/>
      <c r="AB513" s="287"/>
      <c r="AC513" s="287"/>
      <c r="AD513" s="287"/>
      <c r="AE513" s="287"/>
      <c r="AF513" s="287"/>
      <c r="AG513" s="287"/>
      <c r="AH513" s="363"/>
    </row>
    <row r="514" spans="2:34" ht="12.75">
      <c r="B514" s="374"/>
      <c r="Y514" s="287"/>
      <c r="Z514" s="287"/>
      <c r="AA514" s="287"/>
      <c r="AB514" s="287"/>
      <c r="AC514" s="287"/>
      <c r="AD514" s="287"/>
      <c r="AE514" s="287"/>
      <c r="AF514" s="287"/>
      <c r="AG514" s="287"/>
      <c r="AH514" s="363"/>
    </row>
    <row r="515" spans="1:33" ht="15.75">
      <c r="A515" s="289"/>
      <c r="B515" s="1014" t="s">
        <v>264</v>
      </c>
      <c r="C515" s="1015"/>
      <c r="D515" s="1015"/>
      <c r="E515" s="1015"/>
      <c r="F515" s="1015"/>
      <c r="G515" s="1015"/>
      <c r="H515" s="1015"/>
      <c r="I515" s="1015"/>
      <c r="J515" s="1015"/>
      <c r="K515" s="1015"/>
      <c r="L515" s="1015"/>
      <c r="M515" s="1015"/>
      <c r="N515" s="1015"/>
      <c r="O515" s="1015"/>
      <c r="P515" s="1015"/>
      <c r="Q515" s="1015"/>
      <c r="R515" s="1015"/>
      <c r="S515" s="1015"/>
      <c r="T515" s="1015"/>
      <c r="U515" s="1015"/>
      <c r="V515" s="1016"/>
      <c r="W515" s="289"/>
      <c r="Y515" s="287"/>
      <c r="Z515" s="287"/>
      <c r="AA515" s="287"/>
      <c r="AB515" s="287"/>
      <c r="AC515" s="287"/>
      <c r="AD515" s="287"/>
      <c r="AE515" s="287"/>
      <c r="AF515" s="287"/>
      <c r="AG515" s="287"/>
    </row>
    <row r="516" spans="23:33" ht="4.5" customHeight="1">
      <c r="W516" s="246"/>
      <c r="Y516" s="287"/>
      <c r="Z516" s="287"/>
      <c r="AA516" s="287"/>
      <c r="AB516" s="287"/>
      <c r="AC516" s="287"/>
      <c r="AD516" s="287"/>
      <c r="AE516" s="287"/>
      <c r="AF516" s="287"/>
      <c r="AG516" s="287"/>
    </row>
    <row r="517" spans="1:33" ht="15.75">
      <c r="A517" s="289"/>
      <c r="B517" s="1014" t="s">
        <v>265</v>
      </c>
      <c r="C517" s="1015"/>
      <c r="D517" s="1015"/>
      <c r="E517" s="1015"/>
      <c r="F517" s="1015"/>
      <c r="G517" s="1015"/>
      <c r="H517" s="1015"/>
      <c r="I517" s="1015"/>
      <c r="J517" s="1015"/>
      <c r="K517" s="1015"/>
      <c r="L517" s="1015"/>
      <c r="M517" s="1015"/>
      <c r="N517" s="1015"/>
      <c r="O517" s="1015"/>
      <c r="P517" s="1015"/>
      <c r="Q517" s="1015"/>
      <c r="R517" s="1015"/>
      <c r="S517" s="1015"/>
      <c r="T517" s="1015"/>
      <c r="U517" s="1015"/>
      <c r="V517" s="1016"/>
      <c r="W517" s="289"/>
      <c r="Y517" s="287"/>
      <c r="Z517" s="287"/>
      <c r="AA517" s="287"/>
      <c r="AB517" s="287"/>
      <c r="AC517" s="287"/>
      <c r="AD517" s="287"/>
      <c r="AE517" s="287"/>
      <c r="AF517" s="287"/>
      <c r="AG517" s="287"/>
    </row>
    <row r="518" spans="23:33" ht="12.75">
      <c r="W518" s="246"/>
      <c r="Y518" s="287"/>
      <c r="Z518" s="287"/>
      <c r="AA518" s="287"/>
      <c r="AB518" s="287"/>
      <c r="AC518" s="287"/>
      <c r="AD518" s="287"/>
      <c r="AE518" s="287"/>
      <c r="AF518" s="287"/>
      <c r="AG518" s="287"/>
    </row>
    <row r="519" spans="25:33" ht="12.75">
      <c r="Y519" s="287"/>
      <c r="Z519" s="287"/>
      <c r="AA519" s="287"/>
      <c r="AB519" s="287"/>
      <c r="AC519" s="287"/>
      <c r="AD519" s="287"/>
      <c r="AE519" s="287"/>
      <c r="AF519" s="287"/>
      <c r="AG519" s="287"/>
    </row>
    <row r="520" spans="25:33" ht="12.75">
      <c r="Y520" s="287"/>
      <c r="Z520" s="287"/>
      <c r="AA520" s="287"/>
      <c r="AB520" s="287"/>
      <c r="AC520" s="287"/>
      <c r="AD520" s="287"/>
      <c r="AE520" s="287"/>
      <c r="AF520" s="287"/>
      <c r="AG520" s="287"/>
    </row>
    <row r="521" spans="25:33" ht="12.75">
      <c r="Y521" s="287"/>
      <c r="Z521" s="287"/>
      <c r="AA521" s="287"/>
      <c r="AB521" s="287"/>
      <c r="AC521" s="287"/>
      <c r="AD521" s="287"/>
      <c r="AE521" s="287"/>
      <c r="AF521" s="287"/>
      <c r="AG521" s="287"/>
    </row>
  </sheetData>
  <sheetProtection password="CF6C" sheet="1"/>
  <mergeCells count="592">
    <mergeCell ref="F483:S483"/>
    <mergeCell ref="C100:K100"/>
    <mergeCell ref="L100:R100"/>
    <mergeCell ref="B443:K445"/>
    <mergeCell ref="B433:K435"/>
    <mergeCell ref="L433:W433"/>
    <mergeCell ref="L434:W434"/>
    <mergeCell ref="H210:K211"/>
    <mergeCell ref="L210:P211"/>
    <mergeCell ref="B212:G217"/>
    <mergeCell ref="Q204:W205"/>
    <mergeCell ref="A206:A211"/>
    <mergeCell ref="B206:G211"/>
    <mergeCell ref="H206:K209"/>
    <mergeCell ref="L206:P209"/>
    <mergeCell ref="Q206:W209"/>
    <mergeCell ref="A125:A127"/>
    <mergeCell ref="S127:W127"/>
    <mergeCell ref="F108:I108"/>
    <mergeCell ref="P436:S440"/>
    <mergeCell ref="T436:W440"/>
    <mergeCell ref="B439:K439"/>
    <mergeCell ref="B440:K442"/>
    <mergeCell ref="B228:E232"/>
    <mergeCell ref="B200:G200"/>
    <mergeCell ref="H200:K203"/>
    <mergeCell ref="B218:E220"/>
    <mergeCell ref="F219:W219"/>
    <mergeCell ref="B259:W263"/>
    <mergeCell ref="L198:P199"/>
    <mergeCell ref="B114:W117"/>
    <mergeCell ref="B118:W121"/>
    <mergeCell ref="L200:P203"/>
    <mergeCell ref="B201:G205"/>
    <mergeCell ref="H204:K205"/>
    <mergeCell ref="L204:P205"/>
    <mergeCell ref="A169:A171"/>
    <mergeCell ref="A183:W183"/>
    <mergeCell ref="B184:W186"/>
    <mergeCell ref="B187:W190"/>
    <mergeCell ref="A218:A220"/>
    <mergeCell ref="F220:G220"/>
    <mergeCell ref="H193:K193"/>
    <mergeCell ref="L193:P193"/>
    <mergeCell ref="L194:P197"/>
    <mergeCell ref="H198:K199"/>
    <mergeCell ref="P451:S452"/>
    <mergeCell ref="T293:W296"/>
    <mergeCell ref="P305:S308"/>
    <mergeCell ref="T301:W304"/>
    <mergeCell ref="A301:A304"/>
    <mergeCell ref="A305:A308"/>
    <mergeCell ref="A327:A330"/>
    <mergeCell ref="L361:O363"/>
    <mergeCell ref="B446:K447"/>
    <mergeCell ref="B449:K452"/>
    <mergeCell ref="B448:K448"/>
    <mergeCell ref="L435:O435"/>
    <mergeCell ref="B436:K438"/>
    <mergeCell ref="L436:O440"/>
    <mergeCell ref="L451:O452"/>
    <mergeCell ref="L441:O442"/>
    <mergeCell ref="L443:W443"/>
    <mergeCell ref="T435:W435"/>
    <mergeCell ref="L445:O445"/>
    <mergeCell ref="P445:S445"/>
    <mergeCell ref="P297:S300"/>
    <mergeCell ref="A378:A380"/>
    <mergeCell ref="A316:A322"/>
    <mergeCell ref="A344:A346"/>
    <mergeCell ref="A433:A435"/>
    <mergeCell ref="K316:W316"/>
    <mergeCell ref="K318:O318"/>
    <mergeCell ref="T351:W351"/>
    <mergeCell ref="L346:O346"/>
    <mergeCell ref="P346:S346"/>
    <mergeCell ref="H466:K467"/>
    <mergeCell ref="L466:O467"/>
    <mergeCell ref="P466:S467"/>
    <mergeCell ref="T466:W467"/>
    <mergeCell ref="B271:W275"/>
    <mergeCell ref="B268:W269"/>
    <mergeCell ref="A270:W270"/>
    <mergeCell ref="A443:A445"/>
    <mergeCell ref="A286:A292"/>
    <mergeCell ref="K297:O300"/>
    <mergeCell ref="S177:W177"/>
    <mergeCell ref="A460:A463"/>
    <mergeCell ref="A464:A467"/>
    <mergeCell ref="B464:G467"/>
    <mergeCell ref="H464:K464"/>
    <mergeCell ref="L464:O464"/>
    <mergeCell ref="P464:S464"/>
    <mergeCell ref="H465:K465"/>
    <mergeCell ref="L465:O465"/>
    <mergeCell ref="P465:S465"/>
    <mergeCell ref="H93:W93"/>
    <mergeCell ref="H94:W94"/>
    <mergeCell ref="H95:W95"/>
    <mergeCell ref="A458:A459"/>
    <mergeCell ref="H462:K463"/>
    <mergeCell ref="H92:W92"/>
    <mergeCell ref="S142:W143"/>
    <mergeCell ref="S172:W174"/>
    <mergeCell ref="S175:W175"/>
    <mergeCell ref="S176:W176"/>
    <mergeCell ref="G55:H55"/>
    <mergeCell ref="B476:G476"/>
    <mergeCell ref="H476:S476"/>
    <mergeCell ref="H97:W97"/>
    <mergeCell ref="B256:W258"/>
    <mergeCell ref="G56:H56"/>
    <mergeCell ref="A67:W70"/>
    <mergeCell ref="A212:A217"/>
    <mergeCell ref="A72:W74"/>
    <mergeCell ref="A59:W63"/>
    <mergeCell ref="K287:W287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T323:W326"/>
    <mergeCell ref="A49:W49"/>
    <mergeCell ref="A45:W46"/>
    <mergeCell ref="T289:W292"/>
    <mergeCell ref="K286:W286"/>
    <mergeCell ref="P288:S288"/>
    <mergeCell ref="T288:W288"/>
    <mergeCell ref="P289:S292"/>
    <mergeCell ref="K288:O288"/>
    <mergeCell ref="K289:O292"/>
    <mergeCell ref="Y293:Y296"/>
    <mergeCell ref="Y297:Y300"/>
    <mergeCell ref="Y301:Y304"/>
    <mergeCell ref="Y305:Y308"/>
    <mergeCell ref="K327:O330"/>
    <mergeCell ref="P327:S330"/>
    <mergeCell ref="T327:W330"/>
    <mergeCell ref="Y323:Y326"/>
    <mergeCell ref="Y327:Y330"/>
    <mergeCell ref="K319:O322"/>
    <mergeCell ref="T361:W363"/>
    <mergeCell ref="L354:O356"/>
    <mergeCell ref="T347:W349"/>
    <mergeCell ref="L347:O349"/>
    <mergeCell ref="P358:S358"/>
    <mergeCell ref="T358:W358"/>
    <mergeCell ref="P357:S357"/>
    <mergeCell ref="T357:W357"/>
    <mergeCell ref="T352:W353"/>
    <mergeCell ref="T359:W360"/>
    <mergeCell ref="T354:W356"/>
    <mergeCell ref="T350:W350"/>
    <mergeCell ref="P351:S351"/>
    <mergeCell ref="L350:O350"/>
    <mergeCell ref="L364:O364"/>
    <mergeCell ref="P364:S364"/>
    <mergeCell ref="T364:W364"/>
    <mergeCell ref="P354:S356"/>
    <mergeCell ref="P361:S363"/>
    <mergeCell ref="P352:S353"/>
    <mergeCell ref="P366:S367"/>
    <mergeCell ref="T366:W367"/>
    <mergeCell ref="L365:O365"/>
    <mergeCell ref="P365:S365"/>
    <mergeCell ref="T365:W365"/>
    <mergeCell ref="T346:W346"/>
    <mergeCell ref="L351:O351"/>
    <mergeCell ref="P350:S350"/>
    <mergeCell ref="L359:O360"/>
    <mergeCell ref="P359:S360"/>
    <mergeCell ref="B385:E385"/>
    <mergeCell ref="B381:E384"/>
    <mergeCell ref="P380:S380"/>
    <mergeCell ref="L381:O383"/>
    <mergeCell ref="P381:S383"/>
    <mergeCell ref="B378:E380"/>
    <mergeCell ref="I380:K380"/>
    <mergeCell ref="I381:K383"/>
    <mergeCell ref="F380:H380"/>
    <mergeCell ref="F381:H383"/>
    <mergeCell ref="T381:W383"/>
    <mergeCell ref="F378:W378"/>
    <mergeCell ref="F379:W379"/>
    <mergeCell ref="P394:S394"/>
    <mergeCell ref="L380:O380"/>
    <mergeCell ref="P384:S385"/>
    <mergeCell ref="T384:W385"/>
    <mergeCell ref="T380:W380"/>
    <mergeCell ref="L384:O385"/>
    <mergeCell ref="L392:O393"/>
    <mergeCell ref="P389:S391"/>
    <mergeCell ref="P392:S393"/>
    <mergeCell ref="T394:W394"/>
    <mergeCell ref="L395:O396"/>
    <mergeCell ref="P395:S396"/>
    <mergeCell ref="T395:W396"/>
    <mergeCell ref="T389:W391"/>
    <mergeCell ref="L394:O394"/>
    <mergeCell ref="L446:O450"/>
    <mergeCell ref="P446:S450"/>
    <mergeCell ref="T446:W450"/>
    <mergeCell ref="T445:W445"/>
    <mergeCell ref="L444:W444"/>
    <mergeCell ref="P441:S442"/>
    <mergeCell ref="T441:W442"/>
    <mergeCell ref="L107:W107"/>
    <mergeCell ref="L108:S108"/>
    <mergeCell ref="B122:W123"/>
    <mergeCell ref="O125:W126"/>
    <mergeCell ref="B178:N179"/>
    <mergeCell ref="O171:R171"/>
    <mergeCell ref="O178:R179"/>
    <mergeCell ref="A110:W110"/>
    <mergeCell ref="S178:W179"/>
    <mergeCell ref="A113:W113"/>
    <mergeCell ref="O127:R127"/>
    <mergeCell ref="O142:R143"/>
    <mergeCell ref="AF397:AF416"/>
    <mergeCell ref="Y488:AE491"/>
    <mergeCell ref="A488:W491"/>
    <mergeCell ref="B169:N171"/>
    <mergeCell ref="B172:N174"/>
    <mergeCell ref="AE397:AE416"/>
    <mergeCell ref="AA397:AA416"/>
    <mergeCell ref="Q210:W211"/>
    <mergeCell ref="B166:W167"/>
    <mergeCell ref="K65:L65"/>
    <mergeCell ref="E125:N127"/>
    <mergeCell ref="S163:W164"/>
    <mergeCell ref="S171:W171"/>
    <mergeCell ref="O163:R164"/>
    <mergeCell ref="B144:D164"/>
    <mergeCell ref="B125:D127"/>
    <mergeCell ref="B128:D143"/>
    <mergeCell ref="S128:W132"/>
    <mergeCell ref="T451:W452"/>
    <mergeCell ref="P435:S435"/>
    <mergeCell ref="T469:W469"/>
    <mergeCell ref="H461:K461"/>
    <mergeCell ref="L461:O461"/>
    <mergeCell ref="P461:S461"/>
    <mergeCell ref="T461:W461"/>
    <mergeCell ref="T460:W460"/>
    <mergeCell ref="P460:S460"/>
    <mergeCell ref="L460:O460"/>
    <mergeCell ref="A468:A471"/>
    <mergeCell ref="B468:G471"/>
    <mergeCell ref="H468:K468"/>
    <mergeCell ref="L468:O468"/>
    <mergeCell ref="P468:S468"/>
    <mergeCell ref="H458:W459"/>
    <mergeCell ref="B458:G459"/>
    <mergeCell ref="H460:K460"/>
    <mergeCell ref="T464:W464"/>
    <mergeCell ref="T465:W465"/>
    <mergeCell ref="O169:W170"/>
    <mergeCell ref="T248:W251"/>
    <mergeCell ref="K252:N253"/>
    <mergeCell ref="O252:S253"/>
    <mergeCell ref="T252:W253"/>
    <mergeCell ref="Q200:W203"/>
    <mergeCell ref="Q224:S227"/>
    <mergeCell ref="O172:R177"/>
    <mergeCell ref="B175:N177"/>
    <mergeCell ref="T220:W220"/>
    <mergeCell ref="H220:J220"/>
    <mergeCell ref="T242:W245"/>
    <mergeCell ref="K246:N247"/>
    <mergeCell ref="O246:S247"/>
    <mergeCell ref="T246:W247"/>
    <mergeCell ref="A248:A253"/>
    <mergeCell ref="B248:J253"/>
    <mergeCell ref="K248:N251"/>
    <mergeCell ref="O248:S251"/>
    <mergeCell ref="A221:A232"/>
    <mergeCell ref="A242:A247"/>
    <mergeCell ref="B242:J242"/>
    <mergeCell ref="K242:N245"/>
    <mergeCell ref="O242:S245"/>
    <mergeCell ref="B243:J247"/>
    <mergeCell ref="A297:A300"/>
    <mergeCell ref="P293:S296"/>
    <mergeCell ref="K293:O296"/>
    <mergeCell ref="B276:W282"/>
    <mergeCell ref="B264:W266"/>
    <mergeCell ref="B411:H411"/>
    <mergeCell ref="B412:H416"/>
    <mergeCell ref="S414:W414"/>
    <mergeCell ref="I415:M416"/>
    <mergeCell ref="N415:R416"/>
    <mergeCell ref="O240:S241"/>
    <mergeCell ref="T240:W241"/>
    <mergeCell ref="K301:O304"/>
    <mergeCell ref="P301:S304"/>
    <mergeCell ref="K305:O308"/>
    <mergeCell ref="B517:V517"/>
    <mergeCell ref="T468:W468"/>
    <mergeCell ref="H469:K469"/>
    <mergeCell ref="L469:O469"/>
    <mergeCell ref="P469:S469"/>
    <mergeCell ref="H470:K471"/>
    <mergeCell ref="B515:V515"/>
    <mergeCell ref="B477:G477"/>
    <mergeCell ref="B478:G478"/>
    <mergeCell ref="P480:Q480"/>
    <mergeCell ref="S415:W416"/>
    <mergeCell ref="I413:M413"/>
    <mergeCell ref="N413:R413"/>
    <mergeCell ref="S408:W408"/>
    <mergeCell ref="A409:A416"/>
    <mergeCell ref="I409:M411"/>
    <mergeCell ref="N409:R411"/>
    <mergeCell ref="S409:W411"/>
    <mergeCell ref="I412:M412"/>
    <mergeCell ref="N412:R412"/>
    <mergeCell ref="N408:R408"/>
    <mergeCell ref="S412:W412"/>
    <mergeCell ref="I414:M414"/>
    <mergeCell ref="N414:R414"/>
    <mergeCell ref="B404:H405"/>
    <mergeCell ref="I404:M405"/>
    <mergeCell ref="N404:R405"/>
    <mergeCell ref="S404:W405"/>
    <mergeCell ref="B409:H410"/>
    <mergeCell ref="S413:W413"/>
    <mergeCell ref="N402:R402"/>
    <mergeCell ref="S402:W402"/>
    <mergeCell ref="I403:M403"/>
    <mergeCell ref="N403:R403"/>
    <mergeCell ref="S403:W403"/>
    <mergeCell ref="A406:A408"/>
    <mergeCell ref="B406:H408"/>
    <mergeCell ref="I406:W406"/>
    <mergeCell ref="I407:W407"/>
    <mergeCell ref="I408:M408"/>
    <mergeCell ref="I398:W398"/>
    <mergeCell ref="I399:M399"/>
    <mergeCell ref="N399:R399"/>
    <mergeCell ref="S399:W399"/>
    <mergeCell ref="A400:A405"/>
    <mergeCell ref="B400:H403"/>
    <mergeCell ref="I400:M401"/>
    <mergeCell ref="N400:R401"/>
    <mergeCell ref="S400:W401"/>
    <mergeCell ref="I402:M402"/>
    <mergeCell ref="L462:O463"/>
    <mergeCell ref="P462:S463"/>
    <mergeCell ref="T462:W463"/>
    <mergeCell ref="B497:V497"/>
    <mergeCell ref="B456:J456"/>
    <mergeCell ref="B494:W495"/>
    <mergeCell ref="L470:O471"/>
    <mergeCell ref="P470:S471"/>
    <mergeCell ref="T470:W471"/>
    <mergeCell ref="B460:G463"/>
    <mergeCell ref="I395:K396"/>
    <mergeCell ref="A389:A396"/>
    <mergeCell ref="B395:H396"/>
    <mergeCell ref="A381:A385"/>
    <mergeCell ref="A397:A399"/>
    <mergeCell ref="B397:H399"/>
    <mergeCell ref="I397:W397"/>
    <mergeCell ref="A386:A388"/>
    <mergeCell ref="L388:O388"/>
    <mergeCell ref="P388:S388"/>
    <mergeCell ref="I388:K388"/>
    <mergeCell ref="I389:K391"/>
    <mergeCell ref="I392:K394"/>
    <mergeCell ref="I386:W386"/>
    <mergeCell ref="I387:W387"/>
    <mergeCell ref="B386:H388"/>
    <mergeCell ref="B389:H394"/>
    <mergeCell ref="T392:W393"/>
    <mergeCell ref="T388:W388"/>
    <mergeCell ref="L389:O391"/>
    <mergeCell ref="I384:K385"/>
    <mergeCell ref="F384:H385"/>
    <mergeCell ref="A371:A377"/>
    <mergeCell ref="B371:E375"/>
    <mergeCell ref="P371:W375"/>
    <mergeCell ref="B376:E377"/>
    <mergeCell ref="P376:W377"/>
    <mergeCell ref="F371:H375"/>
    <mergeCell ref="F376:H377"/>
    <mergeCell ref="I371:O375"/>
    <mergeCell ref="I376:O377"/>
    <mergeCell ref="A368:A370"/>
    <mergeCell ref="B368:E370"/>
    <mergeCell ref="F368:W368"/>
    <mergeCell ref="F369:W369"/>
    <mergeCell ref="P370:W370"/>
    <mergeCell ref="F370:H370"/>
    <mergeCell ref="I370:O370"/>
    <mergeCell ref="F366:H367"/>
    <mergeCell ref="I366:K367"/>
    <mergeCell ref="I361:K363"/>
    <mergeCell ref="I364:K365"/>
    <mergeCell ref="F357:H358"/>
    <mergeCell ref="F361:H363"/>
    <mergeCell ref="F364:H365"/>
    <mergeCell ref="I359:K360"/>
    <mergeCell ref="L366:O367"/>
    <mergeCell ref="F359:H360"/>
    <mergeCell ref="F347:H349"/>
    <mergeCell ref="F350:H351"/>
    <mergeCell ref="F354:H356"/>
    <mergeCell ref="L358:O358"/>
    <mergeCell ref="L357:O357"/>
    <mergeCell ref="L352:O353"/>
    <mergeCell ref="I350:K351"/>
    <mergeCell ref="I352:K353"/>
    <mergeCell ref="I354:K356"/>
    <mergeCell ref="I357:K358"/>
    <mergeCell ref="A256:A266"/>
    <mergeCell ref="A271:A275"/>
    <mergeCell ref="A276:A282"/>
    <mergeCell ref="K317:W317"/>
    <mergeCell ref="F352:H353"/>
    <mergeCell ref="F344:W344"/>
    <mergeCell ref="I347:K349"/>
    <mergeCell ref="A293:A296"/>
    <mergeCell ref="B359:E360"/>
    <mergeCell ref="B367:E367"/>
    <mergeCell ref="B361:E366"/>
    <mergeCell ref="A347:A353"/>
    <mergeCell ref="A354:A360"/>
    <mergeCell ref="A361:A367"/>
    <mergeCell ref="B347:E352"/>
    <mergeCell ref="B353:E353"/>
    <mergeCell ref="B354:E358"/>
    <mergeCell ref="B316:J319"/>
    <mergeCell ref="B320:J322"/>
    <mergeCell ref="F345:W345"/>
    <mergeCell ref="P347:S349"/>
    <mergeCell ref="P318:S318"/>
    <mergeCell ref="T318:W318"/>
    <mergeCell ref="P319:S322"/>
    <mergeCell ref="T319:W322"/>
    <mergeCell ref="K323:O326"/>
    <mergeCell ref="P323:S326"/>
    <mergeCell ref="T297:W300"/>
    <mergeCell ref="Q221:S223"/>
    <mergeCell ref="T221:W223"/>
    <mergeCell ref="H224:J227"/>
    <mergeCell ref="B344:E346"/>
    <mergeCell ref="I346:K346"/>
    <mergeCell ref="F346:H346"/>
    <mergeCell ref="B301:J304"/>
    <mergeCell ref="K224:M227"/>
    <mergeCell ref="B323:J326"/>
    <mergeCell ref="F218:W218"/>
    <mergeCell ref="F221:G226"/>
    <mergeCell ref="F227:G230"/>
    <mergeCell ref="T305:W308"/>
    <mergeCell ref="K220:M220"/>
    <mergeCell ref="N220:P220"/>
    <mergeCell ref="Q220:S220"/>
    <mergeCell ref="H221:J223"/>
    <mergeCell ref="K221:M223"/>
    <mergeCell ref="N221:P223"/>
    <mergeCell ref="N224:P227"/>
    <mergeCell ref="T224:W227"/>
    <mergeCell ref="K228:M230"/>
    <mergeCell ref="N228:P230"/>
    <mergeCell ref="Q228:S230"/>
    <mergeCell ref="T228:W230"/>
    <mergeCell ref="A236:A241"/>
    <mergeCell ref="B236:J241"/>
    <mergeCell ref="K236:N239"/>
    <mergeCell ref="O236:S239"/>
    <mergeCell ref="T236:W239"/>
    <mergeCell ref="K240:N241"/>
    <mergeCell ref="K234:W234"/>
    <mergeCell ref="K235:N235"/>
    <mergeCell ref="O235:S235"/>
    <mergeCell ref="Q231:S232"/>
    <mergeCell ref="T231:W232"/>
    <mergeCell ref="N231:P232"/>
    <mergeCell ref="T235:W235"/>
    <mergeCell ref="A419:A421"/>
    <mergeCell ref="B419:E421"/>
    <mergeCell ref="F419:W419"/>
    <mergeCell ref="F420:W420"/>
    <mergeCell ref="F421:G421"/>
    <mergeCell ref="H421:J421"/>
    <mergeCell ref="K421:O421"/>
    <mergeCell ref="A422:A430"/>
    <mergeCell ref="B422:E428"/>
    <mergeCell ref="F422:G424"/>
    <mergeCell ref="H422:J424"/>
    <mergeCell ref="K422:O424"/>
    <mergeCell ref="P422:T424"/>
    <mergeCell ref="H425:J428"/>
    <mergeCell ref="B429:E430"/>
    <mergeCell ref="F429:G430"/>
    <mergeCell ref="H429:J430"/>
    <mergeCell ref="K427:O428"/>
    <mergeCell ref="P427:T428"/>
    <mergeCell ref="B233:J235"/>
    <mergeCell ref="K429:O430"/>
    <mergeCell ref="P429:T430"/>
    <mergeCell ref="U421:W421"/>
    <mergeCell ref="U422:W423"/>
    <mergeCell ref="U424:W428"/>
    <mergeCell ref="U429:W430"/>
    <mergeCell ref="P421:T421"/>
    <mergeCell ref="H477:S477"/>
    <mergeCell ref="H478:S478"/>
    <mergeCell ref="A109:W109"/>
    <mergeCell ref="D87:W89"/>
    <mergeCell ref="B182:W182"/>
    <mergeCell ref="A200:A205"/>
    <mergeCell ref="H98:W98"/>
    <mergeCell ref="H99:W99"/>
    <mergeCell ref="K425:O426"/>
    <mergeCell ref="P425:T426"/>
    <mergeCell ref="E128:N132"/>
    <mergeCell ref="O128:R132"/>
    <mergeCell ref="E133:N143"/>
    <mergeCell ref="Q340:W340"/>
    <mergeCell ref="Q341:W341"/>
    <mergeCell ref="I342:L343"/>
    <mergeCell ref="M342:P343"/>
    <mergeCell ref="Q342:W343"/>
    <mergeCell ref="B227:E227"/>
    <mergeCell ref="B221:E226"/>
    <mergeCell ref="S133:W135"/>
    <mergeCell ref="S136:W138"/>
    <mergeCell ref="S139:W141"/>
    <mergeCell ref="E144:N150"/>
    <mergeCell ref="E151:N164"/>
    <mergeCell ref="S144:W146"/>
    <mergeCell ref="O144:R146"/>
    <mergeCell ref="O133:R141"/>
    <mergeCell ref="O147:R162"/>
    <mergeCell ref="S147:W149"/>
    <mergeCell ref="S150:W152"/>
    <mergeCell ref="S153:W155"/>
    <mergeCell ref="S156:W162"/>
    <mergeCell ref="A336:A343"/>
    <mergeCell ref="B336:H343"/>
    <mergeCell ref="I336:L341"/>
    <mergeCell ref="M336:P341"/>
    <mergeCell ref="Q336:W336"/>
    <mergeCell ref="Q337:W339"/>
    <mergeCell ref="B194:G199"/>
    <mergeCell ref="Y309:Y312"/>
    <mergeCell ref="A333:A335"/>
    <mergeCell ref="B333:H335"/>
    <mergeCell ref="I333:W333"/>
    <mergeCell ref="I334:W334"/>
    <mergeCell ref="I335:L335"/>
    <mergeCell ref="M335:P335"/>
    <mergeCell ref="Q335:W335"/>
    <mergeCell ref="A323:A326"/>
    <mergeCell ref="B327:J330"/>
    <mergeCell ref="Q193:W193"/>
    <mergeCell ref="B191:G193"/>
    <mergeCell ref="H191:W191"/>
    <mergeCell ref="H192:W192"/>
    <mergeCell ref="P309:S312"/>
    <mergeCell ref="T309:W312"/>
    <mergeCell ref="Q194:W197"/>
    <mergeCell ref="Q198:W199"/>
    <mergeCell ref="H194:K197"/>
    <mergeCell ref="B293:J296"/>
    <mergeCell ref="A309:A312"/>
    <mergeCell ref="B309:J312"/>
    <mergeCell ref="K309:O312"/>
    <mergeCell ref="H212:K215"/>
    <mergeCell ref="L212:P215"/>
    <mergeCell ref="A191:A193"/>
    <mergeCell ref="A194:A199"/>
    <mergeCell ref="A233:A235"/>
    <mergeCell ref="B286:J292"/>
    <mergeCell ref="H228:J230"/>
    <mergeCell ref="Q212:W215"/>
    <mergeCell ref="H216:K217"/>
    <mergeCell ref="L216:P217"/>
    <mergeCell ref="Q216:W217"/>
    <mergeCell ref="B297:J300"/>
    <mergeCell ref="B305:J308"/>
    <mergeCell ref="H231:J232"/>
    <mergeCell ref="F231:G232"/>
    <mergeCell ref="K231:M232"/>
    <mergeCell ref="K233:W233"/>
  </mergeCells>
  <conditionalFormatting sqref="H92:J92 H94:J94 H96:J96 L107:M107 H98:J98">
    <cfRule type="cellIs" priority="36" dxfId="42" operator="equal" stopIfTrue="1">
      <formula>"нет данных"</formula>
    </cfRule>
  </conditionalFormatting>
  <conditionalFormatting sqref="B323 B327">
    <cfRule type="expression" priority="29" dxfId="43" stopIfTrue="1">
      <formula>AND($G$56="первая",$B323&lt;&gt;"")</formula>
    </cfRule>
  </conditionalFormatting>
  <conditionalFormatting sqref="K323:S330">
    <cfRule type="containsText" priority="20" dxfId="39" operator="containsText" stopIfTrue="1" text="Не заполнять">
      <formula>NOT(ISERROR(SEARCH("Не заполнять",K323)))</formula>
    </cfRule>
  </conditionalFormatting>
  <conditionalFormatting sqref="A497:W497">
    <cfRule type="cellIs" priority="16" dxfId="44" operator="equal" stopIfTrue="1">
      <formula>"ЭЗ не готово к печати"</formula>
    </cfRule>
    <cfRule type="cellIs" priority="17" dxfId="45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1">
    <dataValidation type="list" allowBlank="1" showInputMessage="1" showErrorMessage="1" sqref="P462:S463">
      <formula1>AD462</formula1>
    </dataValidation>
    <dataValidation type="list" allowBlank="1" showInputMessage="1" showErrorMessage="1" sqref="T462:W463">
      <formula1>$AE462</formula1>
    </dataValidation>
    <dataValidation type="list" allowBlank="1" showInputMessage="1" showErrorMessage="1" sqref="T441:W442 T240:W241 T252:W253 T246:W247 Q216:W217 Q210:W211 Q198:W199 Q204:W205 P451:S452">
      <formula1>"30,  "</formula1>
    </dataValidation>
    <dataValidation allowBlank="1" showInputMessage="1" showErrorMessage="1" promptTitle="Внимание!" prompt="Введите данные на листе &#10;&quot;Общие сведения&quot;" sqref="A488 H92:J99 L108:M108 A67 A59 A87 Y63:AG66 D87:W89"/>
    <dataValidation type="list" allowBlank="1" showInputMessage="1" showErrorMessage="1" sqref="H429:J430 H231:J232 I384:O385 I352:K353 I366:K367 I359:K360 U429:W430">
      <formula1>"10,  "</formula1>
    </dataValidation>
    <dataValidation type="list" allowBlank="1" showInputMessage="1" showErrorMessage="1" sqref="T451:W452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0 Z81 U81:V81"/>
    <dataValidation type="list" allowBlank="1" showInputMessage="1" showErrorMessage="1" sqref="P441:S442 P384:W385">
      <formula1>"20,  "</formula1>
    </dataValidation>
    <dataValidation type="list" allowBlank="1" showInputMessage="1" showErrorMessage="1" sqref="K429:O430">
      <formula1>"20, 40, "</formula1>
    </dataValidation>
    <dataValidation type="list" allowBlank="1" showInputMessage="1" showErrorMessage="1" sqref="P429:T430">
      <formula1>"40, 60, "</formula1>
    </dataValidation>
    <dataValidation type="list" allowBlank="1" showInputMessage="1" showErrorMessage="1" sqref="L462:O463">
      <formula1>$AC$462</formula1>
    </dataValidation>
    <dataValidation type="list" allowBlank="1" showInputMessage="1" showErrorMessage="1" sqref="L470:O471 L466:O467">
      <formula1>$AC$465</formula1>
    </dataValidation>
    <dataValidation type="list" allowBlank="1" showInputMessage="1" showErrorMessage="1" sqref="T466:W467 T470:W471">
      <formula1>$AE$465</formula1>
    </dataValidation>
    <dataValidation type="list" allowBlank="1" showInputMessage="1" showErrorMessage="1" sqref="N404:R405 O240:S241 O246:S247 O252:S253 K231:M232 L210:P211 L204:P205 L198:P199 L216:P217 L395:O396 P376:W377 L366:O367 L359:O360 L352:O353">
      <formula1>"10, 20, "</formula1>
    </dataValidation>
    <dataValidation type="list" allowBlank="1" showInputMessage="1" showErrorMessage="1" sqref="S404:W405">
      <formula1>"20, 40,"</formula1>
    </dataValidation>
    <dataValidation type="list" allowBlank="1" showInputMessage="1" showErrorMessage="1" sqref="N415:R416">
      <formula1>"10, 20, 30, "</formula1>
    </dataValidation>
    <dataValidation type="list" allowBlank="1" showInputMessage="1" showErrorMessage="1" sqref="S415:W416">
      <formula1>"50, 70, "</formula1>
    </dataValidation>
    <dataValidation type="list" allowBlank="1" showInputMessage="1" showErrorMessage="1" sqref="I376:O377 P309:R310 P297:R297 P301:R303 P293:R293 P323:S330 P305:R306 M342:P343">
      <formula1>"10, "</formula1>
    </dataValidation>
    <dataValidation type="list" allowBlank="1" showInputMessage="1" showErrorMessage="1" sqref="P366:S367 Q342:W343 P352:S353">
      <formula1>"20, 30, "</formula1>
    </dataValidation>
    <dataValidation type="list" allowBlank="1" showInputMessage="1" showErrorMessage="1" sqref="T366:W367 P359:S360 P395:S396 T352:W353">
      <formula1>"30, 40, "</formula1>
    </dataValidation>
    <dataValidation type="list" allowBlank="1" showInputMessage="1" showErrorMessage="1" sqref="T359:W360 T395:W396">
      <formula1>"40, 50, "</formula1>
    </dataValidation>
    <dataValidation type="list" allowBlank="1" showInputMessage="1" showErrorMessage="1" sqref="T323:W330 T293:W312">
      <formula1>"20, "</formula1>
    </dataValidation>
    <dataValidation type="list" allowBlank="1" showInputMessage="1" showErrorMessage="1" sqref="T231 Q231:S232">
      <formula1>"10, 40, "</formula1>
    </dataValidation>
    <dataValidation type="list" allowBlank="1" showInputMessage="1" showErrorMessage="1" sqref="N231:O232">
      <formula1>"10, 30, "</formula1>
    </dataValidation>
    <dataValidation type="list" allowBlank="1" showInputMessage="1" showErrorMessage="1" sqref="S163:W164">
      <formula1>$AD$163:$AG$163</formula1>
    </dataValidation>
    <dataValidation type="list" allowBlank="1" showInputMessage="1" showErrorMessage="1" sqref="S178:W179">
      <formula1>$AD$178:$AG$178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42:W143">
      <formula1>$AD$142:$AG$142</formula1>
    </dataValidation>
    <dataValidation allowBlank="1" showInputMessage="1" showErrorMessage="1" promptTitle="Вним ание" prompt="Введите данные на листе &#10;&quot;Общие сведения&quot;" sqref="G56:H56"/>
    <dataValidation type="list" allowBlank="1" showInputMessage="1" showErrorMessage="1" sqref="P466:S467 P470:S471">
      <formula1>$AD$465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17" location="ЭЗ!A40" tooltip="Щелкните, чтобы перейти по ссылке" display="в начало Экспертного заключения"/>
    <hyperlink ref="B515:V515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ignoredErrors>
    <ignoredError sqref="L193 K220 N220 Q220 T220 O235 L346 P370 L388 N399 N408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2021-07-22T10:41:51Z</cp:lastPrinted>
  <dcterms:created xsi:type="dcterms:W3CDTF">2020-08-22T14:09:43Z</dcterms:created>
  <dcterms:modified xsi:type="dcterms:W3CDTF">2021-07-26T09:44:26Z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