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28608" windowHeight="12192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'ЭЗ'!$A$466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'ЭЗ'!$AA$168</definedName>
    <definedName name="итого_2">'ЭЗ'!$AA$168</definedName>
    <definedName name="итого_3" localSheetId="1">'ЭЗ'!$AA$265</definedName>
    <definedName name="итого_3">'ЭЗ'!$AA$265</definedName>
    <definedName name="итого_4">'ЭЗ'!$AA$425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09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7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9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39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27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05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<sst xmlns="http://schemas.openxmlformats.org/spreadsheetml/2006/main" count="1213" uniqueCount="720">
  <si>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</si>
  <si>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</si>
  <si>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</si>
  <si>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</si>
  <si>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</si>
  <si>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</si>
  <si>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</si>
  <si>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</si>
  <si>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</si>
  <si>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</si>
  <si>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</si>
  <si>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</si>
  <si>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</si>
  <si>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</si>
  <si>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</si>
  <si>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</si>
  <si>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</si>
  <si>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</si>
  <si>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</si>
  <si>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</si>
  <si>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</si>
  <si>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</si>
  <si>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</si>
  <si>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</si>
  <si>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</si>
  <si>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</si>
  <si>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</si>
  <si>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</si>
  <si>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</si>
  <si>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</si>
  <si>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</si>
  <si>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</si>
  <si>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</si>
  <si>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</si>
  <si>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</si>
  <si>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</si>
  <si>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</si>
  <si>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</si>
  <si>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</si>
  <si>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</si>
  <si>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</si>
  <si>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</si>
  <si>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</si>
  <si>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</si>
  <si>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</si>
  <si>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</si>
  <si>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</si>
  <si>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</si>
  <si>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</si>
  <si>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</si>
  <si>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</si>
  <si>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</si>
  <si>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</si>
  <si>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</si>
  <si>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</si>
  <si>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</si>
  <si>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</si>
  <si>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</si>
  <si>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</si>
  <si>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</si>
  <si>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</si>
  <si>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</si>
  <si>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</si>
  <si>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</si>
  <si>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</si>
  <si>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</si>
  <si>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</si>
  <si>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</si>
  <si>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</si>
  <si>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</si>
  <si>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</si>
  <si>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</si>
  <si>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</si>
  <si>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</si>
  <si>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</si>
  <si>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</si>
  <si>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</si>
  <si>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</si>
  <si>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</si>
  <si>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</si>
  <si>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</si>
  <si>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</si>
  <si>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</si>
  <si>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</si>
  <si>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</si>
  <si>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</si>
  <si>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</si>
  <si>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</si>
  <si>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</si>
  <si>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</si>
  <si>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</si>
  <si>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</si>
  <si>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</si>
  <si>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</si>
  <si>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</si>
  <si>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</si>
  <si>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</si>
  <si>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</si>
  <si>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</si>
  <si>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</si>
  <si>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</si>
  <si>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</si>
  <si>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</si>
  <si>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</si>
  <si>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</si>
  <si>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</si>
  <si>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</si>
  <si>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</si>
  <si>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</si>
  <si>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</si>
  <si>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</si>
  <si>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</si>
  <si>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</si>
  <si>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</si>
  <si>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</si>
  <si>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</si>
  <si>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</si>
  <si>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</si>
  <si>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</si>
  <si>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</si>
  <si>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</si>
  <si>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</si>
  <si>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</si>
  <si>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</si>
  <si>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</si>
  <si>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</si>
  <si>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</si>
  <si>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</si>
  <si>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</si>
  <si>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</si>
  <si>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</si>
  <si>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</si>
  <si>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</si>
  <si>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</si>
  <si>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</si>
  <si>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</si>
  <si>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</si>
  <si>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</si>
  <si>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</si>
  <si>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</si>
  <si>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</si>
  <si>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</si>
  <si>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</si>
  <si>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</si>
  <si>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</si>
  <si>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</si>
  <si>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</si>
  <si>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</si>
  <si>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</si>
  <si>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</si>
  <si>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</si>
  <si>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</si>
  <si>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</si>
  <si>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</si>
  <si>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</si>
  <si>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</si>
  <si>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</si>
  <si>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</si>
  <si>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</si>
  <si>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</si>
  <si>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</si>
  <si>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</si>
  <si>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</si>
  <si>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</si>
  <si>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</si>
  <si>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</si>
  <si>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</si>
  <si>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</si>
  <si>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</si>
  <si>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</si>
  <si>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</si>
  <si>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</si>
  <si>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</si>
  <si>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</si>
  <si>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</si>
  <si>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</si>
  <si>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</si>
  <si>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</si>
  <si>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</si>
  <si>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</si>
  <si>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</si>
  <si>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</si>
  <si>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</si>
  <si>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</si>
  <si>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</si>
  <si>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</si>
  <si>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</si>
  <si>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</si>
  <si>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</si>
  <si>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</si>
  <si>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</si>
  <si>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</si>
  <si>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</si>
  <si>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</si>
  <si>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</si>
  <si>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</si>
  <si>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</si>
  <si>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</si>
  <si>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</si>
  <si>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</si>
  <si>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</si>
  <si>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</si>
  <si>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</si>
  <si>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</si>
  <si>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</si>
  <si>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</si>
  <si>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</si>
  <si>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</si>
  <si>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</si>
  <si>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</si>
  <si>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</si>
  <si>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</si>
  <si>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</si>
  <si>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</si>
  <si>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</si>
  <si>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</si>
  <si>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</si>
  <si>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</si>
  <si>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</si>
  <si>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</si>
  <si>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</si>
  <si>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</si>
  <si>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</si>
  <si>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</si>
  <si>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</si>
  <si>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</si>
  <si>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</si>
  <si>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</si>
  <si>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</si>
  <si>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</si>
  <si>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</si>
  <si>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</si>
  <si>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50-70</t>
  </si>
  <si>
    <t>3.3.2.</t>
  </si>
  <si>
    <t>3.3.3.</t>
  </si>
  <si>
    <t>3.3.4.</t>
  </si>
  <si>
    <t>3.3.5.</t>
  </si>
  <si>
    <t>3.3.6.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</si>
  <si>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</si>
  <si>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</si>
  <si>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</si>
  <si>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</si>
  <si>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</si>
  <si>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</si>
  <si>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</si>
  <si>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</si>
  <si>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</si>
  <si>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</si>
  <si>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</si>
  <si>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</si>
  <si>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</si>
  <si>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</si>
  <si>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</si>
  <si>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</si>
  <si>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</si>
  <si>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</si>
  <si>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</si>
  <si>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</si>
  <si>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</si>
  <si>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</si>
  <si>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</si>
  <si>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</si>
  <si>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</si>
  <si>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</si>
  <si>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</si>
  <si>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</si>
  <si>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</si>
  <si>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</si>
  <si>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</si>
  <si>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</si>
  <si>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</si>
  <si>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</si>
  <si>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</si>
  <si>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</si>
  <si>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</si>
  <si>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</si>
  <si>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</si>
  <si>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</si>
  <si>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</si>
  <si>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</si>
  <si>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</si>
  <si>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</si>
  <si>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</si>
  <si>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</si>
  <si>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>Победители, призеры – 30б.</t>
  </si>
  <si>
    <t>Победители, призеры – 40б.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</si>
  <si>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</si>
  <si>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</si>
  <si>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</si>
  <si>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</si>
  <si>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</si>
  <si>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</si>
  <si>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</si>
  <si>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</si>
  <si>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</si>
  <si>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</si>
  <si>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</si>
  <si>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</si>
  <si>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публ. - 10б.</t>
  </si>
  <si>
    <t>1-2 публ. - 20б.</t>
  </si>
  <si>
    <t>1-2 публ. - 30б.</t>
  </si>
  <si>
    <t>Нет</t>
  </si>
  <si>
    <t>3 и более - 20б.</t>
  </si>
  <si>
    <t>3 и более - 30б.</t>
  </si>
  <si>
    <t>Участие в профессиональных конкурсах</t>
  </si>
  <si>
    <t xml:space="preserve">Не 
участвует
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</si>
  <si>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</si>
  <si>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</si>
  <si>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</si>
  <si>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</si>
  <si>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</si>
  <si>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</si>
  <si>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</si>
  <si>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</si>
  <si>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</si>
  <si>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</si>
  <si>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</si>
  <si>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</si>
  <si>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</si>
  <si>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</si>
  <si>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</si>
  <si>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</si>
  <si>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</si>
  <si>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</si>
  <si>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</si>
  <si>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</si>
  <si>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</si>
  <si>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</si>
  <si>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</si>
  <si>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</si>
  <si>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</si>
  <si>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</si>
  <si>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</si>
  <si>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</si>
  <si>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</si>
  <si>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</si>
  <si>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</si>
  <si>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</si>
  <si>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</si>
  <si>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</si>
  <si>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</si>
  <si>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</si>
  <si>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</si>
  <si>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</si>
  <si>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</si>
  <si>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</si>
  <si>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</si>
  <si>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</si>
  <si>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</si>
  <si>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</si>
  <si>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</si>
  <si>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</si>
  <si>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</si>
  <si>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</si>
  <si>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</si>
  <si>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</si>
  <si>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</si>
  <si>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</si>
  <si>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</si>
  <si>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</si>
  <si>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</si>
  <si>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</si>
  <si>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</si>
  <si>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</si>
  <si>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</si>
  <si>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</si>
  <si>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</si>
  <si>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</si>
  <si>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</si>
  <si>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</si>
  <si>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</si>
  <si>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</si>
  <si>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</si>
  <si>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</si>
  <si>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</si>
  <si>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</si>
  <si>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</si>
  <si>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</si>
  <si>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</si>
  <si>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</si>
  <si>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</si>
  <si>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</si>
  <si>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</si>
  <si>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</si>
  <si>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</si>
  <si>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</si>
  <si>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</si>
  <si>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</si>
  <si>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</si>
  <si>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</si>
  <si>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</si>
  <si>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</si>
  <si>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</si>
  <si>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</si>
  <si>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</si>
  <si>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</si>
  <si>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</si>
  <si>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</si>
  <si>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</si>
  <si>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</si>
  <si>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</si>
  <si>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</si>
  <si>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</si>
  <si>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</si>
  <si>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</si>
  <si>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</si>
  <si>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</si>
  <si>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</si>
  <si>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</si>
  <si>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1-2 конф. - 20б.</t>
  </si>
  <si>
    <t>1-2 конф. - 10б.</t>
  </si>
  <si>
    <t>заявл.кат.:</t>
  </si>
  <si>
    <t>сумма</t>
  </si>
  <si>
    <t>Всего</t>
  </si>
  <si>
    <t>Участие - 
10б.</t>
  </si>
  <si>
    <t>1-2 конф. - 
30б.</t>
  </si>
  <si>
    <t>3 и более - 
40б.</t>
  </si>
  <si>
    <t>Победители, призеры – 20б.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</si>
  <si>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</si>
  <si>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</si>
  <si>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</si>
  <si>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</si>
  <si>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</si>
  <si>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</si>
  <si>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</si>
  <si>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</si>
  <si>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</si>
  <si>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</si>
  <si>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</si>
  <si>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</si>
  <si>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</si>
  <si>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</si>
  <si>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</si>
  <si>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</si>
  <si>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</si>
  <si>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</si>
  <si>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</si>
  <si>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</si>
  <si>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</si>
  <si>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</si>
  <si>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</si>
  <si>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</si>
  <si>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</si>
  <si>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</si>
  <si>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</si>
  <si>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</si>
  <si>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</si>
  <si>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</si>
  <si>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</si>
  <si>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</si>
  <si>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</si>
  <si>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</si>
  <si>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</si>
  <si>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</si>
  <si>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</si>
  <si>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</si>
  <si>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</si>
  <si>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</si>
  <si>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</si>
  <si>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</si>
  <si>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</si>
  <si>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</si>
  <si>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</si>
  <si>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</si>
  <si>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</si>
  <si>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</si>
  <si>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</si>
  <si>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</si>
  <si>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</si>
  <si>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</si>
  <si>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</si>
  <si>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</si>
  <si>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</si>
  <si>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Победители, призеры – 10б.</t>
  </si>
  <si>
    <t>30-40</t>
  </si>
  <si>
    <t>Победители, призеры – 
40б.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</si>
  <si>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</si>
  <si>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</si>
  <si>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</si>
  <si>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</si>
  <si>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</si>
  <si>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</si>
  <si>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</si>
  <si>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</si>
  <si>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</si>
  <si>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</si>
  <si>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</si>
  <si>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</si>
  <si>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</si>
  <si>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</si>
  <si>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</si>
  <si>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</si>
  <si>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</si>
  <si>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</si>
  <si>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</si>
  <si>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</si>
  <si>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</si>
  <si>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</si>
  <si>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</si>
  <si>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</si>
  <si>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</si>
  <si>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</si>
  <si>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</si>
  <si>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</si>
  <si>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</si>
  <si>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</si>
  <si>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</si>
  <si>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</si>
  <si>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</si>
  <si>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</si>
  <si>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</si>
  <si>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</si>
  <si>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</si>
  <si>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</si>
  <si>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</si>
  <si>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</si>
  <si>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</si>
  <si>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</si>
  <si>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</si>
  <si>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</si>
  <si>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</si>
  <si>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</si>
  <si>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</si>
  <si>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</si>
  <si>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</si>
  <si>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</si>
  <si>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</si>
  <si>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</si>
  <si>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</si>
  <si>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</si>
  <si>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</si>
  <si>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</si>
  <si>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</si>
  <si>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</si>
  <si>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</si>
  <si>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</si>
  <si>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</si>
  <si>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</si>
  <si>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</si>
  <si>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</si>
  <si>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</si>
  <si>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</si>
  <si>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</si>
  <si>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</si>
  <si>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</si>
  <si>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</si>
  <si>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</si>
  <si>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</si>
  <si>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</si>
  <si>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</si>
  <si>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</si>
  <si>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</si>
  <si>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</si>
  <si>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</si>
  <si>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</si>
  <si>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</si>
  <si>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</si>
  <si>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</si>
  <si>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</si>
  <si>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</si>
  <si>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</si>
  <si>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</si>
  <si>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</si>
  <si>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</si>
  <si>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</si>
  <si>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</si>
  <si>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</si>
  <si>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</si>
  <si>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</si>
  <si>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</si>
  <si>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</si>
  <si>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</si>
  <si>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</si>
  <si>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</si>
  <si>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</si>
  <si>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</si>
  <si>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</si>
  <si>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</si>
  <si>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</si>
  <si>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</si>
  <si>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</si>
  <si>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</si>
  <si>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</si>
  <si>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</si>
  <si>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</si>
  <si>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</si>
  <si>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</si>
  <si>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</si>
  <si>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</si>
  <si>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</si>
  <si>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</si>
  <si>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</si>
  <si>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</si>
  <si>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</si>
  <si>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</si>
  <si>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</si>
  <si>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</si>
  <si>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</si>
  <si>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</si>
  <si>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</si>
  <si>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</si>
  <si>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</si>
  <si>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</si>
  <si>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</si>
  <si>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</si>
  <si>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</si>
  <si>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</si>
  <si>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</si>
  <si>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</si>
  <si>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</si>
  <si>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</si>
  <si>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</si>
  <si>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</si>
  <si>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</si>
  <si>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</si>
  <si>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</si>
  <si>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</si>
  <si>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</si>
  <si>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</si>
  <si>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</si>
  <si>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</si>
  <si>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</si>
  <si>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</si>
  <si>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</si>
  <si>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</si>
  <si>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</si>
  <si>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</si>
  <si>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</si>
  <si>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</si>
  <si>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</si>
  <si>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</si>
  <si>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</si>
  <si>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</si>
  <si>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</si>
  <si>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</si>
  <si>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</si>
  <si>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</si>
  <si>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</si>
  <si>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</si>
  <si>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</si>
  <si>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</si>
  <si>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</si>
  <si>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</si>
  <si>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</si>
  <si>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</si>
  <si>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</si>
  <si>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</si>
  <si>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</si>
  <si>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</si>
  <si>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</si>
  <si>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</si>
  <si>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</si>
  <si>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</si>
  <si>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</si>
  <si>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</si>
  <si>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</si>
  <si>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</si>
  <si>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</si>
  <si>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</si>
  <si>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</si>
  <si>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</si>
  <si>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</si>
  <si>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</si>
  <si>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</si>
  <si>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</si>
  <si>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</si>
  <si>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</si>
  <si>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>Результаты освоения обучающимися/ воспитанниками образовательных программ по итогам мониторингов, проводимых организацией</t>
  </si>
  <si>
    <t>Участие обучающихся/ воспитанников в массовых мероприятиях:
–  количество мероприятий;
–  охват обучающихся (%);
–  наличие призеров и победителей
(далее – Прил. № 1)</t>
  </si>
  <si>
    <t>Организация работы детских и юношеских объединений, клубов, кружков, секций и др.</t>
  </si>
  <si>
    <t>Охват 
обучающихся/ воспитанников
до 50%</t>
  </si>
  <si>
    <t>Охват 
обучающихся/ воспитанников
от 50 до 80%</t>
  </si>
  <si>
    <t>Охват 
обучающихся/ воспитанников
свыше 80%</t>
  </si>
  <si>
    <t xml:space="preserve"> 2.4.</t>
  </si>
  <si>
    <t>Не 
осуществляется</t>
  </si>
  <si>
    <t>Осуществляется систематически, 
по плану</t>
  </si>
  <si>
    <t>Осуществляется периодически, 
по запросу</t>
  </si>
  <si>
    <t xml:space="preserve"> 2.5.</t>
  </si>
  <si>
    <t xml:space="preserve"> 2.6.</t>
  </si>
  <si>
    <t xml:space="preserve"> 2.7.</t>
  </si>
  <si>
    <t>Организация летней и каникулярной оздоровительной работы</t>
  </si>
  <si>
    <t>Оказание консультативной помощи родителями (лицам их заменяющим) обучающихся/воспитанников</t>
  </si>
  <si>
    <t xml:space="preserve"> 2.8.</t>
  </si>
  <si>
    <t>Взаимодействие с учреждениями культуры, спорта и молодежной политики, творческими и общественными объединениями</t>
  </si>
  <si>
    <t xml:space="preserve">Федеральный уровень
</t>
  </si>
  <si>
    <t xml:space="preserve">Международный уровень
</t>
  </si>
  <si>
    <t>Муниципальный / межведомств. уровень</t>
  </si>
  <si>
    <t>Продуктивность деятельности педагогического работника по развитию обучающихся/ воспитанников</t>
  </si>
  <si>
    <t xml:space="preserve">
Стабильные положительные результаты </t>
  </si>
  <si>
    <t xml:space="preserve">
Положительная динамика
 результатов </t>
  </si>
  <si>
    <t xml:space="preserve">
Нет динамики / отрицательная динамика результатов
</t>
  </si>
  <si>
    <t xml:space="preserve">
Нет стабильных положительных результатов
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</si>
  <si>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</si>
  <si>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</si>
  <si>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</si>
  <si>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Приказ Минобрнауки России «Об утверждении перечня олимпиад школьников и их уровней на учебный год»</t>
  </si>
  <si>
    <t>Повышение квалификации 
(курсы повышения квалификации, стажировка)</t>
  </si>
  <si>
    <t>об уровне квалификации педагогического работника (старший вожатый) 
государственных, муниципальных и частных организаций Московской области, 
осуществляющих образовательную деятельность</t>
  </si>
  <si>
    <t># 25</t>
  </si>
  <si>
    <t>Результаты организационно-массовой работы по развитию детских обществен-
ных организаций, объединений по итогам мониторингов, проводимых организацией</t>
  </si>
  <si>
    <t>Динамика результатов организационно-массовой работы по развитию детских общественных организаций, объединений по итогам мониторингов, проводимых организацией</t>
  </si>
  <si>
    <t>Наличие победителей и при-
зеров конкурсов, выставок, соревнований и др., подготов-
ленных старшим вожатым</t>
  </si>
  <si>
    <t>Примечание:  баллы за участие даются только при отсутствии победителей и призеров;
учитываются только конкурсы и иные мероприятия, входящие в утвержденные перечни*</t>
  </si>
  <si>
    <t>Результаты научно-иссле-довательской, проектной деятельности обучающихся/ воспитанников, подготовлен-
ных старшим вожатым: научно-практические конференции, семинары и др.</t>
  </si>
  <si>
    <r>
      <t>Муницип./</t>
    </r>
    <r>
      <rPr>
        <sz val="9"/>
        <rFont val="Times New Roman"/>
        <family val="1"/>
      </rPr>
      <t xml:space="preserve"> зональный </t>
    </r>
    <r>
      <rPr>
        <sz val="10"/>
        <rFont val="Times New Roman"/>
        <family val="1"/>
      </rPr>
      <t>уровень</t>
    </r>
  </si>
  <si>
    <t>Осуществляется системно, 
комплексно</t>
  </si>
  <si>
    <t>Проведение работы по подбору и подготовке руководителей (организаторов) первичных коллективов детских общественных объединений</t>
  </si>
  <si>
    <t>Обеспечение условий для широкого инфор-
мирования обучающихся /воспитанников о действующих детских общественных организациях, объединениях</t>
  </si>
  <si>
    <t xml:space="preserve">Методы формирования сознания обучающихся/ воспитанников
</t>
  </si>
  <si>
    <t>Методы организации деятельности органов детс-
кого самоуправления и формирования позитивного социального опыта обучающихся/воспитанников</t>
  </si>
  <si>
    <r>
      <t>Методы педагогического стимулирования, мотива-
ции обучающихся/воспитанников</t>
    </r>
    <r>
      <rPr>
        <sz val="10"/>
        <rFont val="Times New Roman"/>
        <family val="1"/>
      </rPr>
      <t xml:space="preserve"> к </t>
    </r>
    <r>
      <rPr>
        <sz val="11"/>
        <rFont val="Times New Roman"/>
        <family val="1"/>
      </rPr>
      <t xml:space="preserve">самореализации в социально и личностно значимой деятельности </t>
    </r>
    <r>
      <rPr>
        <i/>
        <sz val="10"/>
        <rFont val="Times New Roman"/>
        <family val="1"/>
      </rPr>
      <t>(эмоциональное воздействие, поощрение и т.д.)</t>
    </r>
  </si>
  <si>
    <t>Методы контроля эффективности социально-педагогической деятельности</t>
  </si>
  <si>
    <t>Участие в деятельности судейских бригад, экспертных групп/комиссий апелляционных комиссий, профессиональных ассоциаций (ПА), жюри профессиональных конкурсов и др.</t>
  </si>
  <si>
    <t>Муниципальный 
/ зональный уровень</t>
  </si>
  <si>
    <t>1-2 комис./ ПА/ жюри  - 20б.</t>
  </si>
  <si>
    <t>Наличие/получение высшего или среднего профессионального образования</t>
  </si>
  <si>
    <t xml:space="preserve">2) если у педагога нет  высшего или  среднего профессионального образования  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</si>
  <si>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</si>
  <si>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r>
      <t xml:space="preserve"> ---------------------------------------------------------------
</t>
    </r>
    <r>
      <rPr>
        <b/>
        <sz val="11"/>
        <color indexed="18"/>
        <rFont val="Arial"/>
        <family val="2"/>
      </rPr>
      <t>старший вожатый</t>
    </r>
    <r>
      <rPr>
        <b/>
        <sz val="10"/>
        <color indexed="18"/>
        <rFont val="Arial"/>
        <family val="2"/>
      </rPr>
      <t xml:space="preserve">
 ---------------------------------------------------------------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</si>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</sst>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i/>
      <sz val="10"/>
      <color indexed="55"/>
      <name val="Arial"/>
      <family val="2"/>
    </font>
    <font>
      <sz val="10"/>
      <color indexed="55"/>
      <name val="Arial Cyr"/>
      <family val="0"/>
    </font>
    <font>
      <sz val="10.5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6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sz val="10"/>
      <color indexed="44"/>
      <name val="Times New Roman"/>
      <family val="1"/>
    </font>
    <font>
      <b/>
      <sz val="11"/>
      <color indexed="55"/>
      <name val="Times New Roman"/>
      <family val="1"/>
    </font>
    <font>
      <b/>
      <sz val="10"/>
      <color indexed="55"/>
      <name val="Times New Roman"/>
      <family val="1"/>
    </font>
    <font>
      <i/>
      <sz val="10"/>
      <color indexed="55"/>
      <name val="Times New Roman"/>
      <family val="1"/>
    </font>
    <font>
      <sz val="11"/>
      <color indexed="55"/>
      <name val="Times New Roman"/>
      <family val="1"/>
    </font>
    <font>
      <b/>
      <sz val="11"/>
      <color indexed="55"/>
      <name val="Arial"/>
      <family val="2"/>
    </font>
    <font>
      <i/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i/>
      <sz val="10"/>
      <color theme="0" tint="-0.3499799966812134"/>
      <name val="Arial"/>
      <family val="2"/>
    </font>
    <font>
      <sz val="10"/>
      <color theme="0" tint="-0.3499799966812134"/>
      <name val="Arial Cyr"/>
      <family val="0"/>
    </font>
    <font>
      <sz val="10.5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10"/>
      <color theme="4" tint="0.39998000860214233"/>
      <name val="Times New Roman"/>
      <family val="1"/>
    </font>
    <font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1" tint="0.34999001026153564"/>
      <name val="Times New Roman"/>
      <family val="1"/>
    </font>
    <font>
      <b/>
      <sz val="10"/>
      <color theme="0" tint="-0.3499799966812134"/>
      <name val="Times New Roman"/>
      <family val="1"/>
    </font>
    <font>
      <b/>
      <sz val="11"/>
      <color theme="0" tint="-0.3499799966812134"/>
      <name val="Arial"/>
      <family val="2"/>
    </font>
    <font>
      <i/>
      <sz val="9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  <font>
      <i/>
      <sz val="10"/>
      <color theme="0" tint="-0.349979996681213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3" fillId="2" borderId="0" applyNumberFormat="0" applyBorder="0" applyAlignment="0" applyProtection="0"/>
    <xf numFmtId="0" fontId="203" fillId="3" borderId="0" applyNumberFormat="0" applyBorder="0" applyAlignment="0" applyProtection="0"/>
    <xf numFmtId="0" fontId="203" fillId="4" borderId="0" applyNumberFormat="0" applyBorder="0" applyAlignment="0" applyProtection="0"/>
    <xf numFmtId="0" fontId="203" fillId="5" borderId="0" applyNumberFormat="0" applyBorder="0" applyAlignment="0" applyProtection="0"/>
    <xf numFmtId="0" fontId="203" fillId="6" borderId="0" applyNumberFormat="0" applyBorder="0" applyAlignment="0" applyProtection="0"/>
    <xf numFmtId="0" fontId="203" fillId="7" borderId="0" applyNumberFormat="0" applyBorder="0" applyAlignment="0" applyProtection="0"/>
    <xf numFmtId="0" fontId="203" fillId="8" borderId="0" applyNumberFormat="0" applyBorder="0" applyAlignment="0" applyProtection="0"/>
    <xf numFmtId="0" fontId="203" fillId="9" borderId="0" applyNumberFormat="0" applyBorder="0" applyAlignment="0" applyProtection="0"/>
    <xf numFmtId="0" fontId="203" fillId="10" borderId="0" applyNumberFormat="0" applyBorder="0" applyAlignment="0" applyProtection="0"/>
    <xf numFmtId="0" fontId="203" fillId="11" borderId="0" applyNumberFormat="0" applyBorder="0" applyAlignment="0" applyProtection="0"/>
    <xf numFmtId="0" fontId="203" fillId="12" borderId="0" applyNumberFormat="0" applyBorder="0" applyAlignment="0" applyProtection="0"/>
    <xf numFmtId="0" fontId="203" fillId="13" borderId="0" applyNumberFormat="0" applyBorder="0" applyAlignment="0" applyProtection="0"/>
    <xf numFmtId="0" fontId="204" fillId="14" borderId="0" applyNumberFormat="0" applyBorder="0" applyAlignment="0" applyProtection="0"/>
    <xf numFmtId="0" fontId="204" fillId="15" borderId="0" applyNumberFormat="0" applyBorder="0" applyAlignment="0" applyProtection="0"/>
    <xf numFmtId="0" fontId="204" fillId="16" borderId="0" applyNumberFormat="0" applyBorder="0" applyAlignment="0" applyProtection="0"/>
    <xf numFmtId="0" fontId="204" fillId="17" borderId="0" applyNumberFormat="0" applyBorder="0" applyAlignment="0" applyProtection="0"/>
    <xf numFmtId="0" fontId="204" fillId="18" borderId="0" applyNumberFormat="0" applyBorder="0" applyAlignment="0" applyProtection="0"/>
    <xf numFmtId="0" fontId="204" fillId="19" borderId="0" applyNumberFormat="0" applyBorder="0" applyAlignment="0" applyProtection="0"/>
    <xf numFmtId="0" fontId="204" fillId="20" borderId="0" applyNumberFormat="0" applyBorder="0" applyAlignment="0" applyProtection="0"/>
    <xf numFmtId="0" fontId="204" fillId="21" borderId="0" applyNumberFormat="0" applyBorder="0" applyAlignment="0" applyProtection="0"/>
    <xf numFmtId="0" fontId="204" fillId="22" borderId="0" applyNumberFormat="0" applyBorder="0" applyAlignment="0" applyProtection="0"/>
    <xf numFmtId="0" fontId="204" fillId="23" borderId="0" applyNumberFormat="0" applyBorder="0" applyAlignment="0" applyProtection="0"/>
    <xf numFmtId="0" fontId="204" fillId="24" borderId="0" applyNumberFormat="0" applyBorder="0" applyAlignment="0" applyProtection="0"/>
    <xf numFmtId="0" fontId="204" fillId="25" borderId="0" applyNumberFormat="0" applyBorder="0" applyAlignment="0" applyProtection="0"/>
    <xf numFmtId="0" fontId="205" fillId="26" borderId="1" applyNumberFormat="0" applyAlignment="0" applyProtection="0"/>
    <xf numFmtId="0" fontId="206" fillId="27" borderId="2" applyNumberFormat="0" applyAlignment="0" applyProtection="0"/>
    <xf numFmtId="0" fontId="20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8" fillId="0" borderId="3" applyNumberFormat="0" applyFill="0" applyAlignment="0" applyProtection="0"/>
    <xf numFmtId="0" fontId="209" fillId="0" borderId="4" applyNumberFormat="0" applyFill="0" applyAlignment="0" applyProtection="0"/>
    <xf numFmtId="0" fontId="210" fillId="0" borderId="5" applyNumberFormat="0" applyFill="0" applyAlignment="0" applyProtection="0"/>
    <xf numFmtId="0" fontId="210" fillId="0" borderId="0" applyNumberFormat="0" applyFill="0" applyBorder="0" applyAlignment="0" applyProtection="0"/>
    <xf numFmtId="0" fontId="211" fillId="0" borderId="6" applyNumberFormat="0" applyFill="0" applyAlignment="0" applyProtection="0"/>
    <xf numFmtId="0" fontId="212" fillId="28" borderId="7" applyNumberFormat="0" applyAlignment="0" applyProtection="0"/>
    <xf numFmtId="0" fontId="213" fillId="0" borderId="0" applyNumberFormat="0" applyFill="0" applyBorder="0" applyAlignment="0" applyProtection="0"/>
    <xf numFmtId="0" fontId="21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5" fillId="0" borderId="0" applyNumberFormat="0" applyFill="0" applyBorder="0" applyAlignment="0" applyProtection="0"/>
    <xf numFmtId="0" fontId="216" fillId="30" borderId="0" applyNumberFormat="0" applyBorder="0" applyAlignment="0" applyProtection="0"/>
    <xf numFmtId="0" fontId="2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8" fillId="0" borderId="9" applyNumberFormat="0" applyFill="0" applyAlignment="0" applyProtection="0"/>
    <xf numFmtId="0" fontId="2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0" fillId="32" borderId="0" applyNumberFormat="0" applyBorder="0" applyAlignment="0" applyProtection="0"/>
  </cellStyleXfs>
  <cellXfs count="112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1" fillId="0" borderId="0" xfId="0" applyFont="1" applyAlignment="1" applyProtection="1">
      <alignment horizontal="center"/>
      <protection hidden="1"/>
    </xf>
    <xf numFmtId="0" fontId="221" fillId="0" borderId="0" xfId="0" applyFont="1" applyAlignment="1" applyProtection="1">
      <alignment/>
      <protection hidden="1"/>
    </xf>
    <xf numFmtId="0" fontId="222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22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21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21" fillId="0" borderId="0" xfId="0" applyFont="1" applyBorder="1" applyAlignment="1" applyProtection="1">
      <alignment horizontal="right"/>
      <protection hidden="1"/>
    </xf>
    <xf numFmtId="0" fontId="221" fillId="0" borderId="0" xfId="0" applyFont="1" applyBorder="1" applyAlignment="1" applyProtection="1">
      <alignment horizontal="left"/>
      <protection hidden="1"/>
    </xf>
    <xf numFmtId="0" fontId="222" fillId="0" borderId="0" xfId="0" applyFont="1" applyFill="1" applyBorder="1" applyAlignment="1" applyProtection="1">
      <alignment horizontal="right"/>
      <protection hidden="1"/>
    </xf>
    <xf numFmtId="0" fontId="222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21" fillId="0" borderId="14" xfId="0" applyFont="1" applyBorder="1" applyAlignment="1" applyProtection="1">
      <alignment horizontal="right"/>
      <protection hidden="1"/>
    </xf>
    <xf numFmtId="0" fontId="221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23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24" fillId="0" borderId="0" xfId="0" applyFont="1" applyAlignment="1" applyProtection="1">
      <alignment/>
      <protection hidden="1"/>
    </xf>
    <xf numFmtId="0" fontId="225" fillId="36" borderId="0" xfId="54" applyFont="1" applyFill="1" applyBorder="1" applyAlignment="1" applyProtection="1">
      <alignment vertical="center"/>
      <protection hidden="1"/>
    </xf>
    <xf numFmtId="0" fontId="225" fillId="34" borderId="0" xfId="54" applyFont="1" applyFill="1" applyBorder="1" applyAlignment="1" applyProtection="1">
      <alignment vertical="center"/>
      <protection hidden="1"/>
    </xf>
    <xf numFmtId="0" fontId="225" fillId="47" borderId="0" xfId="54" applyFont="1" applyFill="1" applyBorder="1" applyAlignment="1" applyProtection="1">
      <alignment vertical="center"/>
      <protection hidden="1"/>
    </xf>
    <xf numFmtId="0" fontId="226" fillId="0" borderId="0" xfId="0" applyFont="1" applyFill="1" applyBorder="1" applyAlignment="1" applyProtection="1">
      <alignment/>
      <protection hidden="1"/>
    </xf>
    <xf numFmtId="0" fontId="226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27" fillId="0" borderId="0" xfId="0" applyFont="1" applyBorder="1" applyAlignment="1" applyProtection="1">
      <alignment/>
      <protection hidden="1"/>
    </xf>
    <xf numFmtId="0" fontId="221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8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29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30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31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2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27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3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21" fillId="35" borderId="0" xfId="0" applyFont="1" applyFill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right"/>
      <protection hidden="1"/>
    </xf>
    <xf numFmtId="0" fontId="224" fillId="0" borderId="0" xfId="0" applyFont="1" applyAlignment="1" applyProtection="1">
      <alignment horizontal="center" vertical="center"/>
      <protection hidden="1"/>
    </xf>
    <xf numFmtId="0" fontId="234" fillId="3" borderId="0" xfId="0" applyFont="1" applyFill="1" applyAlignment="1" applyProtection="1">
      <alignment horizontal="center"/>
      <protection hidden="1"/>
    </xf>
    <xf numFmtId="0" fontId="234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left"/>
      <protection hidden="1"/>
    </xf>
    <xf numFmtId="0" fontId="224" fillId="0" borderId="0" xfId="0" applyFont="1" applyBorder="1" applyAlignment="1" applyProtection="1">
      <alignment horizontal="right" vertical="center"/>
      <protection hidden="1"/>
    </xf>
    <xf numFmtId="0" fontId="224" fillId="0" borderId="0" xfId="0" applyFont="1" applyBorder="1" applyAlignment="1" applyProtection="1">
      <alignment horizontal="left" vertical="center"/>
      <protection hidden="1"/>
    </xf>
    <xf numFmtId="0" fontId="235" fillId="0" borderId="0" xfId="0" applyFont="1" applyBorder="1" applyAlignment="1" applyProtection="1">
      <alignment horizontal="right" vertical="center"/>
      <protection hidden="1"/>
    </xf>
    <xf numFmtId="0" fontId="235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6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7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9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21" fillId="35" borderId="0" xfId="0" applyFont="1" applyFill="1" applyAlignment="1" applyProtection="1">
      <alignment horizontal="center"/>
      <protection hidden="1"/>
    </xf>
    <xf numFmtId="0" fontId="240" fillId="0" borderId="0" xfId="0" applyFont="1" applyFill="1" applyAlignment="1" applyProtection="1">
      <alignment horizontal="left"/>
      <protection hidden="1"/>
    </xf>
    <xf numFmtId="0" fontId="241" fillId="0" borderId="12" xfId="0" applyFont="1" applyFill="1" applyBorder="1" applyAlignment="1" applyProtection="1">
      <alignment horizontal="left" vertical="center" indent="1"/>
      <protection hidden="1"/>
    </xf>
    <xf numFmtId="0" fontId="242" fillId="0" borderId="12" xfId="0" applyFont="1" applyFill="1" applyBorder="1" applyAlignment="1" applyProtection="1">
      <alignment horizontal="right" vertical="center" indent="1"/>
      <protection hidden="1"/>
    </xf>
    <xf numFmtId="0" fontId="242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8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43" fillId="50" borderId="0" xfId="0" applyFont="1" applyFill="1" applyBorder="1" applyAlignment="1" applyProtection="1">
      <alignment horizontal="center" vertical="center"/>
      <protection hidden="1"/>
    </xf>
    <xf numFmtId="0" fontId="243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4" fillId="0" borderId="12" xfId="0" applyFont="1" applyBorder="1" applyAlignment="1" applyProtection="1">
      <alignment horizontal="left"/>
      <protection hidden="1"/>
    </xf>
    <xf numFmtId="0" fontId="240" fillId="51" borderId="0" xfId="0" applyFont="1" applyFill="1" applyAlignment="1" applyProtection="1">
      <alignment horizontal="left"/>
      <protection hidden="1"/>
    </xf>
    <xf numFmtId="0" fontId="245" fillId="50" borderId="23" xfId="0" applyFont="1" applyFill="1" applyBorder="1" applyAlignment="1" applyProtection="1">
      <alignment horizontal="center" vertical="center" wrapText="1"/>
      <protection hidden="1"/>
    </xf>
    <xf numFmtId="0" fontId="244" fillId="0" borderId="0" xfId="0" applyFont="1" applyBorder="1" applyAlignment="1" applyProtection="1">
      <alignment/>
      <protection hidden="1"/>
    </xf>
    <xf numFmtId="0" fontId="246" fillId="0" borderId="0" xfId="0" applyFont="1" applyBorder="1" applyAlignment="1" applyProtection="1">
      <alignment horizontal="left" vertical="top" wrapText="1" indent="1"/>
      <protection hidden="1"/>
    </xf>
    <xf numFmtId="0" fontId="247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5" fillId="3" borderId="23" xfId="0" applyFont="1" applyFill="1" applyBorder="1" applyAlignment="1" applyProtection="1">
      <alignment horizontal="center" vertical="center" wrapText="1"/>
      <protection hidden="1"/>
    </xf>
    <xf numFmtId="0" fontId="240" fillId="0" borderId="0" xfId="0" applyFont="1" applyFill="1" applyAlignment="1" applyProtection="1">
      <alignment horizontal="center" vertical="top" wrapText="1"/>
      <protection hidden="1"/>
    </xf>
    <xf numFmtId="0" fontId="248" fillId="50" borderId="23" xfId="0" applyFont="1" applyFill="1" applyBorder="1" applyAlignment="1" applyProtection="1">
      <alignment horizontal="left" vertical="center"/>
      <protection hidden="1"/>
    </xf>
    <xf numFmtId="0" fontId="247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7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9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9" fillId="0" borderId="22" xfId="0" applyFont="1" applyBorder="1" applyAlignment="1" applyProtection="1">
      <alignment horizontal="center"/>
      <protection hidden="1"/>
    </xf>
    <xf numFmtId="0" fontId="250" fillId="0" borderId="14" xfId="0" applyFont="1" applyBorder="1" applyAlignment="1" applyProtection="1">
      <alignment wrapText="1"/>
      <protection hidden="1"/>
    </xf>
    <xf numFmtId="0" fontId="251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52" fillId="23" borderId="0" xfId="0" applyFont="1" applyFill="1" applyAlignment="1" applyProtection="1">
      <alignment/>
      <protection hidden="1"/>
    </xf>
    <xf numFmtId="0" fontId="253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55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21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5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40" fillId="50" borderId="0" xfId="0" applyFont="1" applyFill="1" applyBorder="1" applyAlignment="1" applyProtection="1">
      <alignment horizontal="right"/>
      <protection hidden="1"/>
    </xf>
    <xf numFmtId="0" fontId="257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40" fillId="50" borderId="0" xfId="0" applyFont="1" applyFill="1" applyBorder="1" applyAlignment="1" applyProtection="1">
      <alignment horizontal="left" vertical="center"/>
      <protection hidden="1"/>
    </xf>
    <xf numFmtId="0" fontId="240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57" fillId="50" borderId="0" xfId="0" applyFont="1" applyFill="1" applyBorder="1" applyAlignment="1" applyProtection="1">
      <alignment horizontal="left" vertical="top"/>
      <protection hidden="1"/>
    </xf>
    <xf numFmtId="0" fontId="240" fillId="51" borderId="0" xfId="0" applyFont="1" applyFill="1" applyBorder="1" applyAlignment="1" applyProtection="1">
      <alignment horizontal="left" vertical="top"/>
      <protection hidden="1"/>
    </xf>
    <xf numFmtId="0" fontId="258" fillId="0" borderId="12" xfId="0" applyFont="1" applyBorder="1" applyAlignment="1" applyProtection="1">
      <alignment/>
      <protection hidden="1"/>
    </xf>
    <xf numFmtId="0" fontId="258" fillId="0" borderId="0" xfId="0" applyFont="1" applyBorder="1" applyAlignment="1" applyProtection="1">
      <alignment/>
      <protection hidden="1"/>
    </xf>
    <xf numFmtId="0" fontId="259" fillId="50" borderId="12" xfId="0" applyFont="1" applyFill="1" applyBorder="1" applyAlignment="1" applyProtection="1">
      <alignment horizontal="right"/>
      <protection hidden="1"/>
    </xf>
    <xf numFmtId="0" fontId="227" fillId="0" borderId="12" xfId="0" applyFont="1" applyBorder="1" applyAlignment="1" applyProtection="1">
      <alignment/>
      <protection hidden="1"/>
    </xf>
    <xf numFmtId="0" fontId="227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60" fillId="5" borderId="15" xfId="42" applyFont="1" applyFill="1" applyBorder="1" applyAlignment="1" applyProtection="1">
      <alignment horizontal="center"/>
      <protection hidden="1"/>
    </xf>
    <xf numFmtId="0" fontId="260" fillId="5" borderId="12" xfId="42" applyFont="1" applyFill="1" applyBorder="1" applyAlignment="1" applyProtection="1">
      <alignment horizontal="center"/>
      <protection hidden="1"/>
    </xf>
    <xf numFmtId="0" fontId="260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42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61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62" fillId="0" borderId="17" xfId="0" applyFont="1" applyBorder="1" applyAlignment="1" applyProtection="1">
      <alignment/>
      <protection locked="0"/>
    </xf>
    <xf numFmtId="0" fontId="263" fillId="0" borderId="0" xfId="0" applyFont="1" applyAlignment="1" applyProtection="1">
      <alignment/>
      <protection hidden="1"/>
    </xf>
    <xf numFmtId="0" fontId="264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65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66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7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center"/>
      <protection hidden="1"/>
    </xf>
    <xf numFmtId="0" fontId="267" fillId="4" borderId="0" xfId="0" applyFont="1" applyFill="1" applyBorder="1" applyAlignment="1" applyProtection="1">
      <alignment/>
      <protection hidden="1"/>
    </xf>
    <xf numFmtId="0" fontId="267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8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left" vertical="top"/>
      <protection hidden="1"/>
    </xf>
    <xf numFmtId="0" fontId="267" fillId="4" borderId="0" xfId="0" applyFont="1" applyFill="1" applyBorder="1" applyAlignment="1" applyProtection="1">
      <alignment horizontal="center" vertical="top"/>
      <protection hidden="1"/>
    </xf>
    <xf numFmtId="0" fontId="267" fillId="4" borderId="0" xfId="0" applyFont="1" applyFill="1" applyBorder="1" applyAlignment="1" applyProtection="1">
      <alignment vertical="top"/>
      <protection hidden="1"/>
    </xf>
    <xf numFmtId="0" fontId="267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9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70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71" fillId="0" borderId="0" xfId="0" applyFont="1" applyAlignment="1" applyProtection="1">
      <alignment/>
      <protection hidden="1"/>
    </xf>
    <xf numFmtId="0" fontId="272" fillId="4" borderId="34" xfId="0" applyFont="1" applyFill="1" applyBorder="1" applyAlignment="1" applyProtection="1">
      <alignment horizontal="right"/>
      <protection hidden="1"/>
    </xf>
    <xf numFmtId="0" fontId="272" fillId="4" borderId="34" xfId="0" applyFont="1" applyFill="1" applyBorder="1" applyAlignment="1" applyProtection="1">
      <alignment horizontal="center"/>
      <protection hidden="1"/>
    </xf>
    <xf numFmtId="0" fontId="272" fillId="4" borderId="34" xfId="0" applyFont="1" applyFill="1" applyBorder="1" applyAlignment="1" applyProtection="1">
      <alignment horizontal="left"/>
      <protection hidden="1"/>
    </xf>
    <xf numFmtId="0" fontId="272" fillId="4" borderId="34" xfId="0" applyFont="1" applyFill="1" applyBorder="1" applyAlignment="1" applyProtection="1">
      <alignment/>
      <protection hidden="1"/>
    </xf>
    <xf numFmtId="0" fontId="272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73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74" fillId="5" borderId="11" xfId="0" applyFont="1" applyFill="1" applyBorder="1" applyAlignment="1" applyProtection="1">
      <alignment horizontal="left"/>
      <protection hidden="1"/>
    </xf>
    <xf numFmtId="0" fontId="275" fillId="0" borderId="17" xfId="0" applyFont="1" applyBorder="1" applyAlignment="1" applyProtection="1">
      <alignment horizontal="center" vertical="center"/>
      <protection hidden="1"/>
    </xf>
    <xf numFmtId="0" fontId="276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50" fillId="0" borderId="0" xfId="0" applyFont="1" applyBorder="1" applyAlignment="1" applyProtection="1">
      <alignment wrapText="1"/>
      <protection hidden="1"/>
    </xf>
    <xf numFmtId="0" fontId="277" fillId="5" borderId="0" xfId="0" applyFont="1" applyFill="1" applyBorder="1" applyAlignment="1" applyProtection="1">
      <alignment horizontal="center"/>
      <protection hidden="1"/>
    </xf>
    <xf numFmtId="0" fontId="278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53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67" fillId="4" borderId="37" xfId="0" applyFont="1" applyFill="1" applyBorder="1" applyAlignment="1" applyProtection="1">
      <alignment horizontal="center"/>
      <protection hidden="1"/>
    </xf>
    <xf numFmtId="0" fontId="267" fillId="4" borderId="37" xfId="0" applyFont="1" applyFill="1" applyBorder="1" applyAlignment="1" applyProtection="1">
      <alignment horizontal="left"/>
      <protection hidden="1"/>
    </xf>
    <xf numFmtId="0" fontId="267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67" fillId="3" borderId="39" xfId="0" applyFont="1" applyFill="1" applyBorder="1" applyAlignment="1" applyProtection="1">
      <alignment horizontal="center"/>
      <protection hidden="1"/>
    </xf>
    <xf numFmtId="0" fontId="267" fillId="3" borderId="39" xfId="0" applyFont="1" applyFill="1" applyBorder="1" applyAlignment="1" applyProtection="1">
      <alignment horizontal="left"/>
      <protection hidden="1"/>
    </xf>
    <xf numFmtId="0" fontId="267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center"/>
      <protection hidden="1"/>
    </xf>
    <xf numFmtId="0" fontId="271" fillId="3" borderId="34" xfId="0" applyFont="1" applyFill="1" applyBorder="1" applyAlignment="1" applyProtection="1">
      <alignment horizontal="left"/>
      <protection hidden="1"/>
    </xf>
    <xf numFmtId="0" fontId="271" fillId="3" borderId="34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right"/>
      <protection hidden="1"/>
    </xf>
    <xf numFmtId="0" fontId="279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80" fillId="11" borderId="27" xfId="0" applyFont="1" applyFill="1" applyBorder="1" applyAlignment="1" applyProtection="1">
      <alignment vertical="top" wrapText="1"/>
      <protection hidden="1"/>
    </xf>
    <xf numFmtId="0" fontId="247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81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82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83" fillId="11" borderId="0" xfId="0" applyFont="1" applyFill="1" applyBorder="1" applyAlignment="1" applyProtection="1">
      <alignment horizontal="left" vertical="top"/>
      <protection hidden="1"/>
    </xf>
    <xf numFmtId="0" fontId="283" fillId="11" borderId="17" xfId="0" applyFont="1" applyFill="1" applyBorder="1" applyAlignment="1" applyProtection="1">
      <alignment horizontal="center" vertical="center" wrapText="1"/>
      <protection hidden="1"/>
    </xf>
    <xf numFmtId="0" fontId="284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47" fillId="2" borderId="17" xfId="0" applyFont="1" applyFill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4" fillId="0" borderId="31" xfId="0" applyFont="1" applyBorder="1" applyAlignment="1" applyProtection="1">
      <alignment horizontal="center" vertical="center" wrapText="1"/>
      <protection hidden="1"/>
    </xf>
    <xf numFmtId="0" fontId="244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85" fillId="17" borderId="0" xfId="0" applyFont="1" applyFill="1" applyBorder="1" applyAlignment="1" applyProtection="1">
      <alignment horizontal="right" vertical="center"/>
      <protection hidden="1"/>
    </xf>
    <xf numFmtId="0" fontId="282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6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87" fillId="0" borderId="0" xfId="0" applyFont="1" applyAlignment="1" applyProtection="1">
      <alignment horizontal="right"/>
      <protection hidden="1"/>
    </xf>
    <xf numFmtId="0" fontId="287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87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75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87" fillId="35" borderId="17" xfId="0" applyFont="1" applyFill="1" applyBorder="1" applyAlignment="1" applyProtection="1">
      <alignment horizontal="center"/>
      <protection hidden="1"/>
    </xf>
    <xf numFmtId="0" fontId="284" fillId="35" borderId="0" xfId="0" applyFont="1" applyFill="1" applyAlignment="1" applyProtection="1">
      <alignment horizontal="center"/>
      <protection hidden="1"/>
    </xf>
    <xf numFmtId="0" fontId="287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88" fillId="0" borderId="0" xfId="0" applyFont="1" applyBorder="1" applyAlignment="1" applyProtection="1">
      <alignment horizontal="center" vertical="center"/>
      <protection hidden="1"/>
    </xf>
    <xf numFmtId="49" fontId="289" fillId="0" borderId="0" xfId="0" applyNumberFormat="1" applyFont="1" applyAlignment="1" applyProtection="1">
      <alignment/>
      <protection hidden="1"/>
    </xf>
    <xf numFmtId="0" fontId="290" fillId="0" borderId="0" xfId="0" applyFont="1" applyAlignment="1" applyProtection="1">
      <alignment horizontal="justify" vertical="top" wrapText="1"/>
      <protection hidden="1"/>
    </xf>
    <xf numFmtId="0" fontId="291" fillId="0" borderId="15" xfId="0" applyFont="1" applyBorder="1" applyAlignment="1" applyProtection="1">
      <alignment horizontal="center" vertical="top"/>
      <protection hidden="1"/>
    </xf>
    <xf numFmtId="0" fontId="291" fillId="0" borderId="12" xfId="0" applyFont="1" applyBorder="1" applyAlignment="1" applyProtection="1">
      <alignment horizontal="center" vertical="top"/>
      <protection hidden="1"/>
    </xf>
    <xf numFmtId="0" fontId="291" fillId="0" borderId="23" xfId="0" applyFont="1" applyBorder="1" applyAlignment="1" applyProtection="1">
      <alignment horizontal="center" vertical="top"/>
      <protection hidden="1"/>
    </xf>
    <xf numFmtId="0" fontId="227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2" fillId="48" borderId="31" xfId="0" applyFont="1" applyFill="1" applyBorder="1" applyAlignment="1" applyProtection="1">
      <alignment horizontal="center" vertical="center" wrapText="1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292" fillId="2" borderId="0" xfId="0" applyFont="1" applyFill="1" applyBorder="1" applyAlignment="1">
      <alignment horizontal="center" vertical="top" wrapText="1"/>
    </xf>
    <xf numFmtId="0" fontId="293" fillId="0" borderId="0" xfId="0" applyFont="1" applyBorder="1" applyAlignment="1" applyProtection="1">
      <alignment horizontal="left"/>
      <protection hidden="1"/>
    </xf>
    <xf numFmtId="0" fontId="294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93" fillId="2" borderId="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93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95" fillId="0" borderId="12" xfId="0" applyFont="1" applyFill="1" applyBorder="1" applyAlignment="1" applyProtection="1">
      <alignment horizontal="left" vertical="top" wrapText="1" indent="2"/>
      <protection hidden="1"/>
    </xf>
    <xf numFmtId="0" fontId="295" fillId="0" borderId="0" xfId="0" applyFont="1" applyFill="1" applyBorder="1" applyAlignment="1" applyProtection="1">
      <alignment horizontal="left" vertical="top" wrapText="1" indent="2"/>
      <protection hidden="1"/>
    </xf>
    <xf numFmtId="0" fontId="295" fillId="0" borderId="13" xfId="0" applyFont="1" applyFill="1" applyBorder="1" applyAlignment="1" applyProtection="1">
      <alignment horizontal="left" vertical="top" wrapText="1" indent="2"/>
      <protection hidden="1"/>
    </xf>
    <xf numFmtId="0" fontId="294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top"/>
      <protection hidden="1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95" fillId="0" borderId="0" xfId="0" applyFont="1" applyBorder="1" applyAlignment="1" applyProtection="1">
      <alignment horizontal="left" vertical="top" wrapText="1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296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82" fillId="0" borderId="0" xfId="0" applyFont="1" applyAlignment="1">
      <alignment horizontal="justify" vertical="top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49" fontId="297" fillId="0" borderId="16" xfId="0" applyNumberFormat="1" applyFont="1" applyBorder="1" applyAlignment="1" applyProtection="1">
      <alignment horizontal="center" vertical="center" wrapText="1"/>
      <protection hidden="1"/>
    </xf>
    <xf numFmtId="49" fontId="297" fillId="0" borderId="24" xfId="0" applyNumberFormat="1" applyFont="1" applyBorder="1" applyAlignment="1" applyProtection="1">
      <alignment horizontal="center" vertical="center" wrapText="1"/>
      <protection hidden="1"/>
    </xf>
    <xf numFmtId="49" fontId="297" fillId="0" borderId="25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298" fillId="0" borderId="15" xfId="0" applyFont="1" applyBorder="1" applyAlignment="1" applyProtection="1">
      <alignment horizontal="center" vertical="center" wrapText="1"/>
      <protection hidden="1" locked="0"/>
    </xf>
    <xf numFmtId="0" fontId="298" fillId="0" borderId="19" xfId="0" applyFont="1" applyBorder="1" applyAlignment="1" applyProtection="1">
      <alignment horizontal="center" vertical="center" wrapText="1"/>
      <protection hidden="1" locked="0"/>
    </xf>
    <xf numFmtId="0" fontId="298" fillId="0" borderId="26" xfId="0" applyFont="1" applyBorder="1" applyAlignment="1" applyProtection="1">
      <alignment horizontal="center" vertical="center" wrapText="1"/>
      <protection hidden="1" locked="0"/>
    </xf>
    <xf numFmtId="0" fontId="298" fillId="0" borderId="23" xfId="0" applyFont="1" applyBorder="1" applyAlignment="1" applyProtection="1">
      <alignment horizontal="center" vertical="center" wrapText="1"/>
      <protection hidden="1" locked="0"/>
    </xf>
    <xf numFmtId="0" fontId="298" fillId="0" borderId="14" xfId="0" applyFont="1" applyBorder="1" applyAlignment="1" applyProtection="1">
      <alignment horizontal="center" vertical="center" wrapText="1"/>
      <protection hidden="1" locked="0"/>
    </xf>
    <xf numFmtId="0" fontId="298" fillId="0" borderId="18" xfId="0" applyFont="1" applyBorder="1" applyAlignment="1" applyProtection="1">
      <alignment horizontal="center" vertical="center" wrapText="1"/>
      <protection hidden="1" locked="0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76" fillId="0" borderId="14" xfId="0" applyFont="1" applyBorder="1" applyAlignment="1" applyProtection="1">
      <alignment horizontal="left" indent="1"/>
      <protection hidden="1"/>
    </xf>
    <xf numFmtId="0" fontId="291" fillId="0" borderId="15" xfId="0" applyFont="1" applyBorder="1" applyAlignment="1" applyProtection="1">
      <alignment horizontal="center" vertical="center" wrapText="1"/>
      <protection hidden="1"/>
    </xf>
    <xf numFmtId="0" fontId="291" fillId="0" borderId="19" xfId="0" applyFont="1" applyBorder="1" applyAlignment="1" applyProtection="1">
      <alignment horizontal="center" vertical="center" wrapText="1"/>
      <protection hidden="1"/>
    </xf>
    <xf numFmtId="0" fontId="291" fillId="0" borderId="26" xfId="0" applyFont="1" applyBorder="1" applyAlignment="1" applyProtection="1">
      <alignment horizontal="center" vertical="center" wrapText="1"/>
      <protection hidden="1"/>
    </xf>
    <xf numFmtId="0" fontId="291" fillId="0" borderId="12" xfId="0" applyFont="1" applyBorder="1" applyAlignment="1" applyProtection="1">
      <alignment horizontal="center" vertical="center" wrapText="1"/>
      <protection hidden="1"/>
    </xf>
    <xf numFmtId="0" fontId="291" fillId="0" borderId="0" xfId="0" applyFont="1" applyBorder="1" applyAlignment="1" applyProtection="1">
      <alignment horizontal="center" vertical="center" wrapText="1"/>
      <protection hidden="1"/>
    </xf>
    <xf numFmtId="0" fontId="291" fillId="0" borderId="13" xfId="0" applyFont="1" applyBorder="1" applyAlignment="1" applyProtection="1">
      <alignment horizontal="center" vertical="center" wrapText="1"/>
      <protection hidden="1"/>
    </xf>
    <xf numFmtId="0" fontId="299" fillId="0" borderId="12" xfId="0" applyFont="1" applyBorder="1" applyAlignment="1" applyProtection="1">
      <alignment horizontal="left" vertical="center" indent="1"/>
      <protection hidden="1"/>
    </xf>
    <xf numFmtId="0" fontId="299" fillId="0" borderId="0" xfId="0" applyFont="1" applyBorder="1" applyAlignment="1" applyProtection="1">
      <alignment horizontal="left" vertical="center" indent="1"/>
      <protection hidden="1"/>
    </xf>
    <xf numFmtId="0" fontId="299" fillId="0" borderId="13" xfId="0" applyFont="1" applyBorder="1" applyAlignment="1" applyProtection="1">
      <alignment horizontal="left" vertical="center" indent="1"/>
      <protection hidden="1"/>
    </xf>
    <xf numFmtId="0" fontId="299" fillId="0" borderId="12" xfId="0" applyFont="1" applyBorder="1" applyAlignment="1" applyProtection="1">
      <alignment horizontal="center" vertical="center"/>
      <protection hidden="1"/>
    </xf>
    <xf numFmtId="0" fontId="299" fillId="0" borderId="0" xfId="0" applyFont="1" applyBorder="1" applyAlignment="1" applyProtection="1">
      <alignment horizontal="center" vertical="center"/>
      <protection hidden="1"/>
    </xf>
    <xf numFmtId="0" fontId="299" fillId="0" borderId="13" xfId="0" applyFont="1" applyBorder="1" applyAlignment="1" applyProtection="1">
      <alignment horizontal="center" vertical="center"/>
      <protection hidden="1"/>
    </xf>
    <xf numFmtId="0" fontId="299" fillId="0" borderId="23" xfId="0" applyFont="1" applyBorder="1" applyAlignment="1" applyProtection="1">
      <alignment horizontal="left" vertical="top" indent="1"/>
      <protection hidden="1"/>
    </xf>
    <xf numFmtId="0" fontId="299" fillId="0" borderId="14" xfId="0" applyFont="1" applyBorder="1" applyAlignment="1" applyProtection="1">
      <alignment horizontal="left" vertical="top" indent="1"/>
      <protection hidden="1"/>
    </xf>
    <xf numFmtId="0" fontId="299" fillId="0" borderId="18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82" fillId="0" borderId="0" xfId="0" applyFont="1" applyAlignment="1">
      <alignment horizontal="justify" vertical="center" wrapText="1"/>
    </xf>
    <xf numFmtId="0" fontId="34" fillId="0" borderId="20" xfId="0" applyFont="1" applyBorder="1" applyAlignment="1" applyProtection="1">
      <alignment horizontal="center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center" wrapText="1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32" fillId="0" borderId="16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298" fillId="0" borderId="22" xfId="0" applyFont="1" applyBorder="1" applyAlignment="1" applyProtection="1">
      <alignment horizontal="center" vertical="center" wrapText="1"/>
      <protection hidden="1"/>
    </xf>
    <xf numFmtId="0" fontId="298" fillId="0" borderId="17" xfId="0" applyFont="1" applyBorder="1" applyAlignment="1" applyProtection="1">
      <alignment horizontal="center" vertical="center" wrapText="1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2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300" fillId="0" borderId="15" xfId="0" applyFont="1" applyBorder="1" applyAlignment="1" applyProtection="1">
      <alignment horizontal="center" vertical="center"/>
      <protection hidden="1"/>
    </xf>
    <xf numFmtId="0" fontId="300" fillId="0" borderId="19" xfId="0" applyFont="1" applyBorder="1" applyAlignment="1" applyProtection="1">
      <alignment horizontal="center" vertical="center"/>
      <protection hidden="1"/>
    </xf>
    <xf numFmtId="0" fontId="300" fillId="0" borderId="26" xfId="0" applyFont="1" applyBorder="1" applyAlignment="1" applyProtection="1">
      <alignment horizontal="center" vertical="center"/>
      <protection hidden="1"/>
    </xf>
    <xf numFmtId="0" fontId="300" fillId="0" borderId="12" xfId="0" applyFont="1" applyBorder="1" applyAlignment="1" applyProtection="1">
      <alignment horizontal="center" vertical="center"/>
      <protection hidden="1"/>
    </xf>
    <xf numFmtId="0" fontId="300" fillId="0" borderId="0" xfId="0" applyFont="1" applyBorder="1" applyAlignment="1" applyProtection="1">
      <alignment horizontal="center" vertical="center"/>
      <protection hidden="1"/>
    </xf>
    <xf numFmtId="0" fontId="300" fillId="0" borderId="13" xfId="0" applyFont="1" applyBorder="1" applyAlignment="1" applyProtection="1">
      <alignment horizontal="center" vertical="center"/>
      <protection hidden="1"/>
    </xf>
    <xf numFmtId="0" fontId="300" fillId="0" borderId="23" xfId="0" applyFont="1" applyBorder="1" applyAlignment="1" applyProtection="1">
      <alignment horizontal="center" vertical="center"/>
      <protection hidden="1"/>
    </xf>
    <xf numFmtId="0" fontId="300" fillId="0" borderId="14" xfId="0" applyFont="1" applyBorder="1" applyAlignment="1" applyProtection="1">
      <alignment horizontal="center" vertical="center"/>
      <protection hidden="1"/>
    </xf>
    <xf numFmtId="0" fontId="300" fillId="0" borderId="18" xfId="0" applyFont="1" applyBorder="1" applyAlignment="1" applyProtection="1">
      <alignment horizontal="center" vertical="center"/>
      <protection hidden="1"/>
    </xf>
    <xf numFmtId="0" fontId="301" fillId="0" borderId="15" xfId="0" applyFont="1" applyBorder="1" applyAlignment="1" applyProtection="1">
      <alignment horizontal="left" vertical="top" wrapText="1"/>
      <protection hidden="1"/>
    </xf>
    <xf numFmtId="0" fontId="301" fillId="0" borderId="19" xfId="0" applyFont="1" applyBorder="1" applyAlignment="1" applyProtection="1">
      <alignment horizontal="left" vertical="top" wrapText="1"/>
      <protection hidden="1"/>
    </xf>
    <xf numFmtId="0" fontId="301" fillId="0" borderId="26" xfId="0" applyFont="1" applyBorder="1" applyAlignment="1" applyProtection="1">
      <alignment horizontal="left" vertical="top" wrapText="1"/>
      <protection hidden="1"/>
    </xf>
    <xf numFmtId="0" fontId="301" fillId="0" borderId="12" xfId="0" applyFont="1" applyBorder="1" applyAlignment="1" applyProtection="1">
      <alignment horizontal="left" vertical="top" wrapText="1"/>
      <protection hidden="1"/>
    </xf>
    <xf numFmtId="0" fontId="301" fillId="0" borderId="0" xfId="0" applyFont="1" applyBorder="1" applyAlignment="1" applyProtection="1">
      <alignment horizontal="left" vertical="top" wrapText="1"/>
      <protection hidden="1"/>
    </xf>
    <xf numFmtId="0" fontId="301" fillId="0" borderId="13" xfId="0" applyFont="1" applyBorder="1" applyAlignment="1" applyProtection="1">
      <alignment horizontal="left" vertical="top" wrapText="1"/>
      <protection hidden="1"/>
    </xf>
    <xf numFmtId="0" fontId="222" fillId="44" borderId="0" xfId="0" applyFont="1" applyFill="1" applyBorder="1" applyAlignment="1" applyProtection="1">
      <alignment horizontal="center" vertical="center"/>
      <protection hidden="1"/>
    </xf>
    <xf numFmtId="0" fontId="297" fillId="0" borderId="17" xfId="0" applyFont="1" applyBorder="1" applyAlignment="1" applyProtection="1">
      <alignment horizontal="center" vertical="top"/>
      <protection hidden="1"/>
    </xf>
    <xf numFmtId="0" fontId="291" fillId="0" borderId="14" xfId="0" applyFont="1" applyBorder="1" applyAlignment="1" applyProtection="1">
      <alignment horizontal="center" vertical="center" wrapText="1"/>
      <protection hidden="1"/>
    </xf>
    <xf numFmtId="0" fontId="291" fillId="0" borderId="18" xfId="0" applyFont="1" applyBorder="1" applyAlignment="1" applyProtection="1">
      <alignment horizontal="center" vertical="center" wrapText="1"/>
      <protection hidden="1"/>
    </xf>
    <xf numFmtId="0" fontId="302" fillId="0" borderId="12" xfId="0" applyFont="1" applyBorder="1" applyAlignment="1" applyProtection="1">
      <alignment horizontal="left" vertical="top" wrapText="1"/>
      <protection hidden="1"/>
    </xf>
    <xf numFmtId="0" fontId="302" fillId="0" borderId="0" xfId="0" applyFont="1" applyBorder="1" applyAlignment="1" applyProtection="1">
      <alignment horizontal="left" vertical="top" wrapText="1"/>
      <protection hidden="1"/>
    </xf>
    <xf numFmtId="0" fontId="302" fillId="0" borderId="13" xfId="0" applyFont="1" applyBorder="1" applyAlignment="1" applyProtection="1">
      <alignment horizontal="left" vertical="top" wrapText="1"/>
      <protection hidden="1"/>
    </xf>
    <xf numFmtId="0" fontId="288" fillId="0" borderId="0" xfId="0" applyFont="1" applyAlignment="1" applyProtection="1">
      <alignment horizontal="left" vertical="top" wrapTex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00" fillId="0" borderId="17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302" fillId="0" borderId="23" xfId="0" applyFont="1" applyBorder="1" applyAlignment="1" applyProtection="1">
      <alignment horizontal="left" vertical="top" wrapText="1"/>
      <protection hidden="1"/>
    </xf>
    <xf numFmtId="0" fontId="302" fillId="0" borderId="14" xfId="0" applyFont="1" applyBorder="1" applyAlignment="1" applyProtection="1">
      <alignment horizontal="left" vertical="top" wrapText="1"/>
      <protection hidden="1"/>
    </xf>
    <xf numFmtId="0" fontId="302" fillId="0" borderId="18" xfId="0" applyFont="1" applyBorder="1" applyAlignment="1" applyProtection="1">
      <alignment horizontal="left" vertical="top" wrapText="1"/>
      <protection hidden="1"/>
    </xf>
    <xf numFmtId="0" fontId="297" fillId="0" borderId="21" xfId="0" applyFont="1" applyBorder="1" applyAlignment="1" applyProtection="1">
      <alignment horizontal="center" vertical="top"/>
      <protection hidden="1"/>
    </xf>
    <xf numFmtId="0" fontId="297" fillId="0" borderId="20" xfId="0" applyFont="1" applyBorder="1" applyAlignment="1" applyProtection="1">
      <alignment horizontal="center" vertical="top"/>
      <protection hidden="1"/>
    </xf>
    <xf numFmtId="0" fontId="297" fillId="0" borderId="22" xfId="0" applyFont="1" applyBorder="1" applyAlignment="1" applyProtection="1">
      <alignment horizontal="center" vertical="top"/>
      <protection hidden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039975"/>
          <a:ext cx="9725025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4866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4866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457</xdr:row>
      <xdr:rowOff>9525</xdr:rowOff>
    </xdr:from>
    <xdr:to>
      <xdr:col>23</xdr:col>
      <xdr:colOff>38100</xdr:colOff>
      <xdr:row>460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28575" y="62303025"/>
          <a:ext cx="748665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428625</xdr:colOff>
      <xdr:row>87</xdr:row>
      <xdr:rowOff>0</xdr:rowOff>
    </xdr:from>
    <xdr:to>
      <xdr:col>22</xdr:col>
      <xdr:colOff>257175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0960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H18" sqref="H18"/>
    </sheetView>
  </sheetViews>
  <sheetFormatPr defaultColWidth="9.125" defaultRowHeight="12.75"/>
  <cols>
    <col min="1" max="1" width="26.50390625" style="5" customWidth="1"/>
    <col min="2" max="2" width="8.875" style="5" customWidth="1"/>
    <col min="3" max="3" width="7.50390625" style="5" customWidth="1"/>
    <col min="4" max="4" width="10.50390625" style="5" customWidth="1"/>
    <col min="5" max="5" width="17.125" style="5" customWidth="1"/>
    <col min="6" max="6" width="7.50390625" style="5" customWidth="1"/>
    <col min="7" max="7" width="6.5039062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375" style="57" hidden="1" customWidth="1"/>
    <col min="12" max="12" width="27.625" style="2" hidden="1" customWidth="1"/>
    <col min="13" max="13" width="22.50390625" style="3" hidden="1" customWidth="1"/>
    <col min="14" max="14" width="16.875" style="4" hidden="1" customWidth="1"/>
    <col min="15" max="15" width="18.625" style="5" hidden="1" customWidth="1"/>
    <col min="16" max="16" width="9.875" style="5" hidden="1" customWidth="1"/>
    <col min="17" max="17" width="13.375" style="5" hidden="1" customWidth="1"/>
    <col min="18" max="18" width="8.50390625" style="5" hidden="1" customWidth="1"/>
    <col min="19" max="19" width="39.125" style="5" hidden="1" customWidth="1"/>
    <col min="20" max="20" width="1.00390625" style="5" customWidth="1"/>
    <col min="21" max="21" width="32.625" style="5" customWidth="1"/>
    <col min="22" max="16384" width="9.125" style="5" customWidth="1"/>
  </cols>
  <sheetData>
    <row r="1" spans="1:20" ht="15.75" customHeight="1">
      <c r="A1" s="725" t="str">
        <f>A129</f>
        <v>Введите данные в ячейки, выделенные голубым и зеленым цветом</v>
      </c>
      <c r="B1" s="726"/>
      <c r="C1" s="726"/>
      <c r="D1" s="726"/>
      <c r="E1" s="726"/>
      <c r="F1" s="726"/>
      <c r="G1" s="726"/>
      <c r="H1" s="726"/>
      <c r="I1" s="726"/>
      <c r="J1" s="727"/>
      <c r="K1" s="1"/>
      <c r="T1" s="514" t="s">
        <v>317</v>
      </c>
    </row>
    <row r="2" spans="1:20" ht="13.5" customHeight="1">
      <c r="A2" s="705"/>
      <c r="B2" s="706"/>
      <c r="C2" s="706"/>
      <c r="D2" s="706"/>
      <c r="E2" s="706"/>
      <c r="F2" s="706"/>
      <c r="G2" s="706"/>
      <c r="H2" s="706"/>
      <c r="I2" s="706"/>
      <c r="J2" s="707"/>
      <c r="K2" s="1"/>
      <c r="T2" s="631" t="s">
        <v>698</v>
      </c>
    </row>
    <row r="3" spans="1:20" ht="37.5" customHeight="1" thickBot="1">
      <c r="A3" s="728" t="s">
        <v>0</v>
      </c>
      <c r="B3" s="729"/>
      <c r="C3" s="729"/>
      <c r="D3" s="729"/>
      <c r="E3" s="729"/>
      <c r="F3" s="729"/>
      <c r="G3" s="729"/>
      <c r="H3" s="729"/>
      <c r="I3" s="729"/>
      <c r="J3" s="730"/>
      <c r="K3" s="6"/>
      <c r="M3" s="7"/>
      <c r="S3" s="384"/>
      <c r="T3" s="377"/>
    </row>
    <row r="4" spans="1:20" ht="17.25" customHeight="1" thickBot="1">
      <c r="A4" s="499" t="s">
        <v>1</v>
      </c>
      <c r="B4" s="731">
        <v>1</v>
      </c>
      <c r="C4" s="732"/>
      <c r="D4" s="500"/>
      <c r="E4" s="509" t="s">
        <v>367</v>
      </c>
      <c r="F4" s="501"/>
      <c r="G4" s="502"/>
      <c r="H4" s="739" t="s">
        <v>181</v>
      </c>
      <c r="I4" s="739"/>
      <c r="J4" s="740"/>
      <c r="K4" s="8"/>
      <c r="L4" s="8"/>
      <c r="M4" s="8"/>
      <c r="N4" s="8"/>
      <c r="O4" s="8"/>
      <c r="P4" s="8"/>
      <c r="Q4" s="8"/>
      <c r="S4" s="384"/>
      <c r="T4" s="377"/>
    </row>
    <row r="5" spans="1:20" ht="10.5" customHeight="1">
      <c r="A5" s="503"/>
      <c r="B5" s="500"/>
      <c r="C5" s="500"/>
      <c r="D5" s="500"/>
      <c r="E5" s="510" t="str">
        <f aca="true" t="shared" si="0" ref="E5:E16">VLOOKUP(A132,$A$132:$H$144,$B$4+1)</f>
        <v>Балашиха</v>
      </c>
      <c r="F5" s="504"/>
      <c r="G5" s="379"/>
      <c r="H5" s="675" t="s">
        <v>469</v>
      </c>
      <c r="I5" s="675"/>
      <c r="J5" s="676"/>
      <c r="K5" s="8"/>
      <c r="L5" s="8"/>
      <c r="M5" s="8"/>
      <c r="N5" s="8"/>
      <c r="O5" s="8"/>
      <c r="P5" s="8"/>
      <c r="Q5" s="8"/>
      <c r="S5" s="384"/>
      <c r="T5" s="377"/>
    </row>
    <row r="6" spans="1:20" ht="10.5" customHeight="1">
      <c r="A6" s="503"/>
      <c r="B6" s="500"/>
      <c r="C6" s="500"/>
      <c r="D6" s="500"/>
      <c r="E6" s="510" t="str">
        <f t="shared" si="0"/>
        <v>Богородский</v>
      </c>
      <c r="F6" s="504"/>
      <c r="G6" s="379"/>
      <c r="H6" s="675"/>
      <c r="I6" s="675"/>
      <c r="J6" s="676"/>
      <c r="K6" s="8"/>
      <c r="L6" s="8"/>
      <c r="M6" s="8"/>
      <c r="N6" s="8"/>
      <c r="O6" s="8"/>
      <c r="P6" s="8"/>
      <c r="Q6" s="8"/>
      <c r="S6" s="384"/>
      <c r="T6" s="377"/>
    </row>
    <row r="7" spans="1:20" ht="10.5" customHeight="1">
      <c r="A7" s="503"/>
      <c r="B7" s="500"/>
      <c r="C7" s="500"/>
      <c r="D7" s="500"/>
      <c r="E7" s="510" t="str">
        <f t="shared" si="0"/>
        <v>Орехово-Зуевский</v>
      </c>
      <c r="F7" s="504"/>
      <c r="G7" s="379"/>
      <c r="H7" s="675"/>
      <c r="I7" s="675"/>
      <c r="J7" s="676"/>
      <c r="K7" s="8"/>
      <c r="L7" s="8"/>
      <c r="M7" s="8"/>
      <c r="N7" s="8"/>
      <c r="O7" s="8"/>
      <c r="P7" s="8"/>
      <c r="Q7" s="8"/>
      <c r="S7" s="384"/>
      <c r="T7" s="377"/>
    </row>
    <row r="8" spans="1:20" ht="10.5" customHeight="1" thickBot="1">
      <c r="A8" s="503"/>
      <c r="B8" s="500"/>
      <c r="C8" s="500"/>
      <c r="D8" s="500"/>
      <c r="E8" s="510" t="str">
        <f t="shared" si="0"/>
        <v>Павловский Посад</v>
      </c>
      <c r="F8" s="504"/>
      <c r="G8" s="379"/>
      <c r="H8" s="673" t="s">
        <v>519</v>
      </c>
      <c r="I8" s="673"/>
      <c r="J8" s="674"/>
      <c r="K8" s="8"/>
      <c r="L8" s="592" t="s">
        <v>547</v>
      </c>
      <c r="M8" s="591"/>
      <c r="N8" s="591"/>
      <c r="O8" s="591"/>
      <c r="P8" s="591"/>
      <c r="Q8" s="8"/>
      <c r="S8" s="384"/>
      <c r="T8" s="377"/>
    </row>
    <row r="9" spans="1:20" ht="10.5" customHeight="1" thickTop="1">
      <c r="A9" s="503"/>
      <c r="B9" s="500"/>
      <c r="C9" s="500"/>
      <c r="D9" s="500"/>
      <c r="E9" s="510" t="str">
        <f t="shared" si="0"/>
        <v>Реутов</v>
      </c>
      <c r="F9" s="504"/>
      <c r="G9" s="379"/>
      <c r="H9" s="673"/>
      <c r="I9" s="673"/>
      <c r="J9" s="674"/>
      <c r="K9" s="8"/>
      <c r="L9" s="9"/>
      <c r="M9" s="9"/>
      <c r="N9" s="9"/>
      <c r="O9" s="9"/>
      <c r="P9" s="9"/>
      <c r="S9" s="384"/>
      <c r="T9" s="377"/>
    </row>
    <row r="10" spans="1:20" ht="10.5" customHeight="1">
      <c r="A10" s="503"/>
      <c r="B10" s="500"/>
      <c r="C10" s="500"/>
      <c r="D10" s="500"/>
      <c r="E10" s="510" t="str">
        <f t="shared" si="0"/>
        <v>Черноголовка</v>
      </c>
      <c r="F10" s="504"/>
      <c r="G10" s="379"/>
      <c r="H10" s="673"/>
      <c r="I10" s="673"/>
      <c r="J10" s="674"/>
      <c r="K10" s="8"/>
      <c r="L10" s="11"/>
      <c r="N10" s="588"/>
      <c r="O10" s="590" t="str">
        <f>"порог для __"&amp;ЗаявлКатег_ОС&amp;"__"&amp;B27</f>
        <v>порог для __первая__старший вожатый</v>
      </c>
      <c r="P10" s="589">
        <f>VLOOKUP(ЗаявлКатег_ОС,M12:N13,2)</f>
        <v>160</v>
      </c>
      <c r="S10" s="384"/>
      <c r="T10" s="377"/>
    </row>
    <row r="11" spans="1:20" ht="10.5" customHeight="1">
      <c r="A11" s="503"/>
      <c r="B11" s="500"/>
      <c r="C11" s="500"/>
      <c r="D11" s="500"/>
      <c r="E11" s="510" t="str">
        <f t="shared" si="0"/>
        <v>Электрогорск</v>
      </c>
      <c r="F11" s="504"/>
      <c r="G11" s="379"/>
      <c r="H11" s="673"/>
      <c r="I11" s="673"/>
      <c r="J11" s="674"/>
      <c r="K11" s="8"/>
      <c r="M11" s="582" t="s">
        <v>545</v>
      </c>
      <c r="N11" s="448"/>
      <c r="P11" s="587" t="s">
        <v>4</v>
      </c>
      <c r="S11" s="384"/>
      <c r="T11" s="377"/>
    </row>
    <row r="12" spans="1:20" ht="10.5" customHeight="1">
      <c r="A12" s="503"/>
      <c r="B12" s="500"/>
      <c r="C12" s="500"/>
      <c r="D12" s="500"/>
      <c r="E12" s="510" t="str">
        <f t="shared" si="0"/>
        <v>Электросталь</v>
      </c>
      <c r="F12" s="504"/>
      <c r="G12" s="379"/>
      <c r="H12" s="673"/>
      <c r="I12" s="673"/>
      <c r="J12" s="674"/>
      <c r="K12" s="8"/>
      <c r="L12" s="449"/>
      <c r="M12" s="366" t="s">
        <v>3</v>
      </c>
      <c r="N12" s="585">
        <f>VLOOKUP($B$27,$L$19:$Q$28,3)</f>
        <v>290</v>
      </c>
      <c r="P12" s="586">
        <f>VLOOKUP(B27,$L$19:$Q$28,5)</f>
        <v>25</v>
      </c>
      <c r="Q12" s="584" t="str">
        <f>VLOOKUP(B27,$L$19:$Q$28,6)</f>
        <v>старшего вожатого</v>
      </c>
      <c r="S12" s="384"/>
      <c r="T12" s="377"/>
    </row>
    <row r="13" spans="1:20" ht="12.75" customHeight="1">
      <c r="A13" s="503"/>
      <c r="B13" s="500"/>
      <c r="C13" s="500"/>
      <c r="D13" s="500"/>
      <c r="E13" s="510" t="str">
        <f t="shared" si="0"/>
        <v> </v>
      </c>
      <c r="F13" s="504"/>
      <c r="G13" s="379"/>
      <c r="H13" s="675" t="s">
        <v>718</v>
      </c>
      <c r="I13" s="675"/>
      <c r="J13" s="676"/>
      <c r="K13" s="8"/>
      <c r="M13" s="367" t="s">
        <v>2</v>
      </c>
      <c r="N13" s="585">
        <f>VLOOKUP($B$27,$L$19:$Q$28,2)</f>
        <v>160</v>
      </c>
      <c r="P13" s="583" t="str">
        <f>VLOOKUP(B27,$L$19:$Q$28,4)</f>
        <v> - </v>
      </c>
      <c r="S13" s="384"/>
      <c r="T13" s="377"/>
    </row>
    <row r="14" spans="1:20" ht="10.5" customHeight="1">
      <c r="A14" s="505"/>
      <c r="B14" s="379"/>
      <c r="C14" s="500"/>
      <c r="D14" s="500"/>
      <c r="E14" s="510" t="str">
        <f t="shared" si="0"/>
        <v> </v>
      </c>
      <c r="F14" s="504"/>
      <c r="G14" s="379"/>
      <c r="H14" s="675"/>
      <c r="I14" s="675"/>
      <c r="J14" s="676"/>
      <c r="K14" s="8"/>
      <c r="L14" s="13"/>
      <c r="N14" s="15"/>
      <c r="O14" s="15"/>
      <c r="P14" s="16"/>
      <c r="S14" s="384"/>
      <c r="T14" s="377"/>
    </row>
    <row r="15" spans="1:20" ht="10.5" customHeight="1">
      <c r="A15" s="503"/>
      <c r="B15" s="379"/>
      <c r="C15" s="500"/>
      <c r="D15" s="500"/>
      <c r="E15" s="510" t="str">
        <f t="shared" si="0"/>
        <v> </v>
      </c>
      <c r="F15" s="504"/>
      <c r="G15" s="379"/>
      <c r="H15" s="675"/>
      <c r="I15" s="675"/>
      <c r="J15" s="676"/>
      <c r="K15" s="8"/>
      <c r="L15" s="13"/>
      <c r="N15" s="14"/>
      <c r="O15" s="14"/>
      <c r="P15" s="16"/>
      <c r="S15" s="384"/>
      <c r="T15" s="377"/>
    </row>
    <row r="16" spans="1:20" ht="10.5" customHeight="1">
      <c r="A16" s="503"/>
      <c r="B16" s="379"/>
      <c r="C16" s="379"/>
      <c r="D16" s="379"/>
      <c r="E16" s="511" t="str">
        <f t="shared" si="0"/>
        <v> </v>
      </c>
      <c r="F16" s="506"/>
      <c r="G16" s="379"/>
      <c r="H16" s="675"/>
      <c r="I16" s="675"/>
      <c r="J16" s="676"/>
      <c r="K16" s="17"/>
      <c r="L16" s="570"/>
      <c r="M16" s="569"/>
      <c r="N16" s="555"/>
      <c r="O16" s="551"/>
      <c r="P16" s="571"/>
      <c r="S16" s="384"/>
      <c r="T16" s="377"/>
    </row>
    <row r="17" spans="1:20" ht="10.5" customHeight="1">
      <c r="A17" s="503"/>
      <c r="B17" s="379"/>
      <c r="C17" s="379"/>
      <c r="D17" s="379"/>
      <c r="E17" s="507"/>
      <c r="F17" s="379"/>
      <c r="G17" s="379"/>
      <c r="H17" s="675"/>
      <c r="I17" s="675"/>
      <c r="J17" s="676"/>
      <c r="K17" s="620" t="s">
        <v>557</v>
      </c>
      <c r="L17" s="539"/>
      <c r="M17" s="241" t="s">
        <v>2</v>
      </c>
      <c r="N17" s="553" t="s">
        <v>3</v>
      </c>
      <c r="O17" s="402"/>
      <c r="P17" s="542"/>
      <c r="Q17" s="402"/>
      <c r="R17" s="168"/>
      <c r="S17" s="543"/>
      <c r="T17" s="377"/>
    </row>
    <row r="18" spans="1:20" ht="6.75" customHeight="1">
      <c r="A18" s="406"/>
      <c r="B18" s="18"/>
      <c r="C18" s="18"/>
      <c r="D18" s="18"/>
      <c r="E18" s="407"/>
      <c r="F18" s="18"/>
      <c r="G18" s="18"/>
      <c r="H18" s="409"/>
      <c r="I18" s="409"/>
      <c r="J18" s="410"/>
      <c r="K18" s="617"/>
      <c r="L18" s="11"/>
      <c r="M18" s="324"/>
      <c r="N18" s="554"/>
      <c r="O18" s="168"/>
      <c r="P18" s="544"/>
      <c r="Q18" s="168"/>
      <c r="R18" s="168"/>
      <c r="S18" s="543"/>
      <c r="T18" s="377"/>
    </row>
    <row r="19" spans="1:21" ht="24" customHeight="1" hidden="1">
      <c r="A19" s="678" t="s">
        <v>663</v>
      </c>
      <c r="B19" s="679"/>
      <c r="C19" s="679"/>
      <c r="D19" s="679"/>
      <c r="E19" s="679"/>
      <c r="F19" s="679"/>
      <c r="G19" s="679"/>
      <c r="H19" s="679"/>
      <c r="I19" s="679"/>
      <c r="J19" s="401"/>
      <c r="K19" s="619" t="str">
        <f>IF(COUNTIF(C21:C23,"да"),"да","нет")</f>
        <v>нет</v>
      </c>
      <c r="L19" s="547" t="s">
        <v>483</v>
      </c>
      <c r="M19" s="548">
        <v>210</v>
      </c>
      <c r="N19" s="547">
        <v>450</v>
      </c>
      <c r="O19" s="549" t="s">
        <v>541</v>
      </c>
      <c r="P19" s="550">
        <v>1</v>
      </c>
      <c r="Q19" s="552" t="s">
        <v>535</v>
      </c>
      <c r="R19" s="168"/>
      <c r="S19" s="543"/>
      <c r="T19" s="377"/>
      <c r="U19" s="534" t="s">
        <v>527</v>
      </c>
    </row>
    <row r="20" spans="1:21" ht="21.75" customHeight="1" hidden="1">
      <c r="A20" s="397" t="s">
        <v>466</v>
      </c>
      <c r="B20" s="21"/>
      <c r="C20" s="21"/>
      <c r="D20" s="21"/>
      <c r="E20" s="21"/>
      <c r="F20" s="21"/>
      <c r="G20" s="22"/>
      <c r="H20" s="12"/>
      <c r="I20" s="12"/>
      <c r="J20" s="20"/>
      <c r="K20" s="618" t="str">
        <f>IF(K19="да",L20,L19)</f>
        <v> без учета мониторингов системы образования</v>
      </c>
      <c r="L20" s="556" t="s">
        <v>484</v>
      </c>
      <c r="M20" s="557">
        <v>270</v>
      </c>
      <c r="N20" s="556">
        <v>510</v>
      </c>
      <c r="O20" s="558" t="s">
        <v>540</v>
      </c>
      <c r="P20" s="559">
        <v>1</v>
      </c>
      <c r="Q20" s="632" t="s">
        <v>651</v>
      </c>
      <c r="R20" s="168"/>
      <c r="S20" s="543"/>
      <c r="T20" s="377"/>
      <c r="U20" s="533" t="s">
        <v>25</v>
      </c>
    </row>
    <row r="21" spans="1:21" ht="13.5" hidden="1">
      <c r="A21" s="19"/>
      <c r="B21" s="398" t="s">
        <v>464</v>
      </c>
      <c r="C21" s="508" t="s">
        <v>25</v>
      </c>
      <c r="D21" s="12"/>
      <c r="E21" s="12"/>
      <c r="F21" s="12"/>
      <c r="G21" s="12"/>
      <c r="H21" s="12"/>
      <c r="I21" s="12"/>
      <c r="J21" s="20"/>
      <c r="K21" s="541"/>
      <c r="L21" s="560" t="s">
        <v>530</v>
      </c>
      <c r="M21" s="561">
        <v>210</v>
      </c>
      <c r="N21" s="562">
        <v>400</v>
      </c>
      <c r="O21" s="563" t="s">
        <v>531</v>
      </c>
      <c r="P21" s="564">
        <v>2</v>
      </c>
      <c r="Q21" s="565" t="s">
        <v>534</v>
      </c>
      <c r="R21" s="168"/>
      <c r="S21" s="543"/>
      <c r="T21" s="377"/>
      <c r="U21" s="533" t="s">
        <v>555</v>
      </c>
    </row>
    <row r="22" spans="1:21" ht="13.5" hidden="1">
      <c r="A22" s="19"/>
      <c r="B22" s="399" t="s">
        <v>465</v>
      </c>
      <c r="C22" s="508" t="s">
        <v>25</v>
      </c>
      <c r="D22" s="12"/>
      <c r="E22" s="12"/>
      <c r="F22" s="12"/>
      <c r="G22" s="12"/>
      <c r="H22" s="12"/>
      <c r="I22" s="12"/>
      <c r="J22" s="20"/>
      <c r="K22" s="541"/>
      <c r="L22" s="560" t="s">
        <v>532</v>
      </c>
      <c r="M22" s="561">
        <v>230</v>
      </c>
      <c r="N22" s="562">
        <v>420</v>
      </c>
      <c r="O22" s="563" t="s">
        <v>485</v>
      </c>
      <c r="P22" s="564">
        <v>3</v>
      </c>
      <c r="Q22" s="565" t="s">
        <v>533</v>
      </c>
      <c r="R22" s="168"/>
      <c r="S22" s="543"/>
      <c r="T22" s="377"/>
      <c r="U22" s="533" t="s">
        <v>528</v>
      </c>
    </row>
    <row r="23" spans="1:21" ht="13.5" hidden="1">
      <c r="A23" s="19"/>
      <c r="B23" s="399" t="s">
        <v>349</v>
      </c>
      <c r="C23" s="508" t="s">
        <v>25</v>
      </c>
      <c r="D23" s="12"/>
      <c r="E23" s="741" t="s">
        <v>555</v>
      </c>
      <c r="F23" s="741"/>
      <c r="G23" s="741"/>
      <c r="H23" s="741"/>
      <c r="I23" s="741"/>
      <c r="J23" s="742"/>
      <c r="K23" s="541"/>
      <c r="L23" s="560" t="s">
        <v>128</v>
      </c>
      <c r="M23" s="561">
        <v>210</v>
      </c>
      <c r="N23" s="562">
        <v>440</v>
      </c>
      <c r="O23" s="566" t="s">
        <v>539</v>
      </c>
      <c r="P23" s="564">
        <v>5</v>
      </c>
      <c r="Q23" s="567"/>
      <c r="R23" s="168"/>
      <c r="S23" s="543"/>
      <c r="T23" s="377"/>
      <c r="U23" s="533" t="s">
        <v>528</v>
      </c>
    </row>
    <row r="24" spans="1:20" ht="15" customHeight="1" hidden="1">
      <c r="A24" s="19"/>
      <c r="B24" s="12"/>
      <c r="C24" s="51"/>
      <c r="D24" s="12"/>
      <c r="F24" s="12"/>
      <c r="G24" s="12"/>
      <c r="H24" s="537">
        <f>IF(C23="да","укажите наименование др.мониторингов","")</f>
      </c>
      <c r="I24" s="12"/>
      <c r="J24" s="20"/>
      <c r="K24" s="545"/>
      <c r="L24" s="575" t="s">
        <v>134</v>
      </c>
      <c r="M24" s="576">
        <v>260</v>
      </c>
      <c r="N24" s="577">
        <v>490</v>
      </c>
      <c r="O24" s="578" t="s">
        <v>543</v>
      </c>
      <c r="P24" s="579">
        <v>6</v>
      </c>
      <c r="Q24" s="568"/>
      <c r="R24" s="168"/>
      <c r="S24" s="543"/>
      <c r="T24" s="377"/>
    </row>
    <row r="25" spans="1:20" ht="13.5" hidden="1">
      <c r="A25" s="516" t="s">
        <v>521</v>
      </c>
      <c r="B25" s="756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756"/>
      <c r="D25" s="756"/>
      <c r="E25" s="756"/>
      <c r="F25" s="756"/>
      <c r="G25" s="756"/>
      <c r="H25" s="756"/>
      <c r="I25" s="756"/>
      <c r="K25" s="545"/>
      <c r="L25" s="581" t="s">
        <v>139</v>
      </c>
      <c r="M25" s="561">
        <v>200</v>
      </c>
      <c r="N25" s="562">
        <v>390</v>
      </c>
      <c r="O25" s="566" t="s">
        <v>539</v>
      </c>
      <c r="P25" s="564">
        <v>4</v>
      </c>
      <c r="Q25" s="580" t="s">
        <v>140</v>
      </c>
      <c r="R25" s="168"/>
      <c r="S25" s="543"/>
      <c r="T25" s="377"/>
    </row>
    <row r="26" spans="10:20" ht="12.75" hidden="1">
      <c r="J26" s="515"/>
      <c r="K26" s="545"/>
      <c r="L26" s="63" t="str">
        <f>K172</f>
        <v>старший вожатый</v>
      </c>
      <c r="M26" s="63">
        <f>ЭЗ!AG35</f>
        <v>160</v>
      </c>
      <c r="N26" s="657">
        <f>ЭЗ!AH35</f>
        <v>290</v>
      </c>
      <c r="O26" s="657" t="str">
        <f>ЭЗ!AI35</f>
        <v> - </v>
      </c>
      <c r="P26" s="657">
        <f>ЭЗ!AJ35</f>
        <v>25</v>
      </c>
      <c r="Q26" s="657" t="str">
        <f>ЭЗ!AE35</f>
        <v>старшего вожатого</v>
      </c>
      <c r="R26" s="168"/>
      <c r="S26" s="543"/>
      <c r="T26" s="377"/>
    </row>
    <row r="27" spans="1:20" ht="13.5" hidden="1">
      <c r="A27" s="536" t="s">
        <v>7</v>
      </c>
      <c r="B27" s="745" t="str">
        <f>IF(T2="# 1",K20,долж_ОС)</f>
        <v>старший вожатый</v>
      </c>
      <c r="C27" s="745"/>
      <c r="D27" s="745"/>
      <c r="E27" s="745"/>
      <c r="F27" s="745"/>
      <c r="G27" s="538" t="s">
        <v>529</v>
      </c>
      <c r="H27" s="535"/>
      <c r="I27" s="535"/>
      <c r="J27" s="540" t="s">
        <v>536</v>
      </c>
      <c r="K27" s="545"/>
      <c r="L27" s="575" t="s">
        <v>163</v>
      </c>
      <c r="M27" s="576">
        <v>260</v>
      </c>
      <c r="N27" s="577">
        <v>490</v>
      </c>
      <c r="O27" s="578" t="s">
        <v>539</v>
      </c>
      <c r="P27" s="579">
        <v>6</v>
      </c>
      <c r="Q27" s="580" t="s">
        <v>544</v>
      </c>
      <c r="R27" s="168"/>
      <c r="S27" s="543"/>
      <c r="T27" s="377"/>
    </row>
    <row r="28" spans="1:20" ht="14.25" hidden="1" thickBot="1">
      <c r="A28" s="480"/>
      <c r="B28" s="400"/>
      <c r="C28" s="400"/>
      <c r="D28" s="400"/>
      <c r="E28" s="400"/>
      <c r="F28" s="400"/>
      <c r="G28" s="400"/>
      <c r="H28" s="400"/>
      <c r="I28" s="400"/>
      <c r="J28" s="20"/>
      <c r="K28" s="545"/>
      <c r="L28" s="593" t="s">
        <v>546</v>
      </c>
      <c r="M28" s="594">
        <v>280</v>
      </c>
      <c r="N28" s="595">
        <v>540</v>
      </c>
      <c r="O28" s="596" t="s">
        <v>542</v>
      </c>
      <c r="P28" s="597">
        <v>7</v>
      </c>
      <c r="Q28" s="598"/>
      <c r="R28" s="168"/>
      <c r="S28" s="543"/>
      <c r="T28" s="377"/>
    </row>
    <row r="29" spans="1:20" ht="20.25" customHeight="1">
      <c r="A29" s="678" t="s">
        <v>8</v>
      </c>
      <c r="B29" s="679"/>
      <c r="C29" s="679"/>
      <c r="D29" s="679"/>
      <c r="E29" s="679"/>
      <c r="F29" s="679"/>
      <c r="G29" s="679"/>
      <c r="H29" s="679"/>
      <c r="I29" s="679"/>
      <c r="J29" s="385"/>
      <c r="K29" s="68"/>
      <c r="L29" s="608" t="s">
        <v>548</v>
      </c>
      <c r="M29" s="599"/>
      <c r="N29" s="600"/>
      <c r="O29" s="601"/>
      <c r="P29" s="602"/>
      <c r="Q29" s="603"/>
      <c r="R29" s="168"/>
      <c r="S29" s="543"/>
      <c r="T29" s="377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609" t="s">
        <v>556</v>
      </c>
      <c r="M30" s="604"/>
      <c r="N30" s="605"/>
      <c r="O30" s="606"/>
      <c r="P30" s="607"/>
      <c r="Q30" s="574"/>
      <c r="R30" s="168"/>
      <c r="S30" s="543"/>
      <c r="T30" s="377"/>
    </row>
    <row r="31" spans="1:20" ht="15">
      <c r="A31" s="682" t="s">
        <v>9</v>
      </c>
      <c r="B31" s="748"/>
      <c r="C31" s="694"/>
      <c r="D31" s="694"/>
      <c r="E31" s="694"/>
      <c r="F31" s="694"/>
      <c r="G31" s="694"/>
      <c r="H31" s="694"/>
      <c r="I31" s="694"/>
      <c r="J31" s="20"/>
      <c r="K31" s="18"/>
      <c r="L31" s="572">
        <f>CLEAN(TRIM(C31))</f>
      </c>
      <c r="M31" s="5"/>
      <c r="N31" s="5"/>
      <c r="Q31" s="168"/>
      <c r="R31" s="168"/>
      <c r="S31" s="543"/>
      <c r="T31" s="377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43"/>
      <c r="T32" s="377"/>
    </row>
    <row r="33" spans="1:20" ht="15">
      <c r="A33" s="682" t="s">
        <v>10</v>
      </c>
      <c r="B33" s="683"/>
      <c r="C33" s="746" t="s">
        <v>367</v>
      </c>
      <c r="D33" s="746"/>
      <c r="E33" s="746"/>
      <c r="F33" s="12"/>
      <c r="G33" s="733"/>
      <c r="H33" s="733"/>
      <c r="I33" s="733"/>
      <c r="J33" s="20"/>
      <c r="L33" s="572" t="str">
        <f>IF(AND(МуницОбр_ОС="",C33&lt;&gt;E4),C33&amp;" "&amp;E4,C33&amp;" "&amp;МуницОбр_ОС)</f>
        <v>городской округ </v>
      </c>
      <c r="M33" s="5"/>
      <c r="N33" s="5"/>
      <c r="Q33" s="168"/>
      <c r="R33" s="168"/>
      <c r="S33" s="543"/>
      <c r="T33" s="377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43"/>
      <c r="T34" s="377"/>
    </row>
    <row r="35" spans="1:20" ht="15">
      <c r="A35" s="28" t="s">
        <v>11</v>
      </c>
      <c r="B35" s="733"/>
      <c r="C35" s="733"/>
      <c r="D35" s="733"/>
      <c r="E35" s="733"/>
      <c r="F35" s="733"/>
      <c r="G35" s="733"/>
      <c r="H35" s="733"/>
      <c r="I35" s="733"/>
      <c r="J35" s="20"/>
      <c r="K35" s="27">
        <f>LEN(B35)</f>
        <v>0</v>
      </c>
      <c r="L35" s="573">
        <f>TRIM(B35)</f>
      </c>
      <c r="O35" s="31"/>
      <c r="Q35" s="168"/>
      <c r="R35" s="168"/>
      <c r="S35" s="543"/>
      <c r="T35" s="377"/>
    </row>
    <row r="36" spans="1:20" ht="15">
      <c r="A36" s="28"/>
      <c r="B36" s="747"/>
      <c r="C36" s="747"/>
      <c r="D36" s="747"/>
      <c r="E36" s="747"/>
      <c r="F36" s="747"/>
      <c r="G36" s="747"/>
      <c r="H36" s="747"/>
      <c r="I36" s="747"/>
      <c r="J36" s="20"/>
      <c r="K36" s="27">
        <f>LEN(B36)</f>
        <v>0</v>
      </c>
      <c r="L36" s="573">
        <f>TRIM(B36)</f>
      </c>
      <c r="P36" s="7"/>
      <c r="S36" s="384"/>
      <c r="T36" s="377"/>
    </row>
    <row r="37" spans="1:20" ht="15" customHeight="1">
      <c r="A37" s="28"/>
      <c r="B37" s="747"/>
      <c r="C37" s="747"/>
      <c r="D37" s="747"/>
      <c r="E37" s="747"/>
      <c r="F37" s="747"/>
      <c r="G37" s="747"/>
      <c r="H37" s="747"/>
      <c r="I37" s="747"/>
      <c r="J37" s="20"/>
      <c r="K37" s="27">
        <f>LEN(B37)</f>
        <v>0</v>
      </c>
      <c r="L37" s="573">
        <f>TRIM(B37)</f>
      </c>
      <c r="N37" s="4" t="s">
        <v>660</v>
      </c>
      <c r="O37" s="31"/>
      <c r="P37" s="7"/>
      <c r="S37" s="384"/>
      <c r="T37" s="377"/>
    </row>
    <row r="38" spans="1:20" ht="3.75" customHeight="1">
      <c r="A38" s="28"/>
      <c r="B38" s="262"/>
      <c r="C38" s="262"/>
      <c r="D38" s="262"/>
      <c r="E38" s="262"/>
      <c r="F38" s="262"/>
      <c r="G38" s="262"/>
      <c r="H38" s="262"/>
      <c r="I38" s="262"/>
      <c r="J38" s="20"/>
      <c r="K38" s="27"/>
      <c r="L38" s="3"/>
      <c r="O38" s="31"/>
      <c r="P38" s="7"/>
      <c r="S38" s="384"/>
      <c r="T38" s="377"/>
    </row>
    <row r="39" spans="1:20" ht="15">
      <c r="A39" s="28" t="s">
        <v>12</v>
      </c>
      <c r="B39" s="755" t="s">
        <v>153</v>
      </c>
      <c r="C39" s="755"/>
      <c r="D39" s="755"/>
      <c r="E39" s="755"/>
      <c r="F39" s="755"/>
      <c r="G39" s="755"/>
      <c r="H39" s="755"/>
      <c r="I39" s="743"/>
      <c r="J39" s="744"/>
      <c r="K39" s="18"/>
      <c r="L39" s="377" t="str">
        <f>LOWER(TRIM(B39))</f>
        <v>старший вожатый</v>
      </c>
      <c r="M39" s="27">
        <f>LEN(L40)</f>
        <v>0</v>
      </c>
      <c r="N39" s="633" t="s">
        <v>148</v>
      </c>
      <c r="O39" s="31"/>
      <c r="P39" s="7"/>
      <c r="S39" s="384"/>
      <c r="T39" s="377"/>
    </row>
    <row r="40" spans="1:20" ht="15">
      <c r="A40" s="28" t="str">
        <f>K40</f>
        <v>.</v>
      </c>
      <c r="B40" s="757"/>
      <c r="C40" s="757"/>
      <c r="D40" s="757"/>
      <c r="E40" s="757"/>
      <c r="F40" s="757"/>
      <c r="G40" s="757"/>
      <c r="H40" s="757"/>
      <c r="I40" s="736"/>
      <c r="J40" s="737"/>
      <c r="K40" s="66" t="str">
        <f>ЭЗ!AC35</f>
        <v>.</v>
      </c>
      <c r="L40" s="573">
        <f>TRIM(B40)</f>
      </c>
      <c r="M40" s="27">
        <f>IF(B39="",0,1)</f>
        <v>1</v>
      </c>
      <c r="O40" s="31"/>
      <c r="P40" s="7"/>
      <c r="S40" s="384"/>
      <c r="T40" s="377"/>
    </row>
    <row r="41" spans="1:20" ht="18.75" customHeight="1">
      <c r="A41" s="19"/>
      <c r="B41" s="738"/>
      <c r="C41" s="738"/>
      <c r="D41" s="738"/>
      <c r="E41" s="738"/>
      <c r="F41" s="738"/>
      <c r="G41" s="738"/>
      <c r="H41" s="738"/>
      <c r="I41" s="12"/>
      <c r="J41" s="20"/>
      <c r="K41" s="18"/>
      <c r="L41" s="5"/>
      <c r="S41" s="384"/>
      <c r="T41" s="377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84"/>
      <c r="T42" s="377"/>
    </row>
    <row r="43" spans="1:20" ht="0.75" customHeight="1">
      <c r="A43" s="33"/>
      <c r="B43" s="34"/>
      <c r="C43" s="758"/>
      <c r="D43" s="758"/>
      <c r="E43" s="758"/>
      <c r="F43" s="758"/>
      <c r="G43" s="758"/>
      <c r="H43" s="758"/>
      <c r="I43" s="758"/>
      <c r="J43" s="20"/>
      <c r="K43" s="18"/>
      <c r="L43" s="32"/>
      <c r="S43" s="384"/>
      <c r="T43" s="377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84"/>
      <c r="T44" s="377"/>
    </row>
    <row r="45" spans="1:20" ht="15">
      <c r="A45" s="734" t="s">
        <v>14</v>
      </c>
      <c r="B45" s="735"/>
      <c r="C45" s="735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84"/>
      <c r="T45" s="377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84"/>
      <c r="T46" s="377"/>
    </row>
    <row r="47" spans="1:20" ht="15">
      <c r="A47" s="734" t="s">
        <v>15</v>
      </c>
      <c r="B47" s="735"/>
      <c r="C47" s="735"/>
      <c r="D47" s="213" t="s">
        <v>25</v>
      </c>
      <c r="E47" s="481">
        <f>IF(AND(катег_ОС="нет",датаПрисв&lt;&gt;0),"Внимание!_НЕТ_","")</f>
      </c>
      <c r="F47" s="482">
        <f>IF(катег_ОС="нет","","дата присвоения")</f>
      </c>
      <c r="G47" s="141"/>
      <c r="H47" s="141"/>
      <c r="I47" s="390"/>
      <c r="J47" s="20"/>
      <c r="K47" s="477">
        <f>IF(OR(катег_ОС="нет",датаПрисв=0),"",датаПрисв)</f>
      </c>
      <c r="L47" s="45" t="s">
        <v>17</v>
      </c>
      <c r="M47" s="46">
        <f ca="1">TODAY()-5*365-90</f>
        <v>42488</v>
      </c>
      <c r="N47" s="46">
        <f ca="1">TODAY()</f>
        <v>44403</v>
      </c>
      <c r="O47" s="47">
        <f>N47-5*365-40</f>
        <v>42538</v>
      </c>
      <c r="S47" s="384"/>
      <c r="T47" s="377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78"/>
      <c r="L48" s="52"/>
      <c r="M48" s="215" t="s">
        <v>273</v>
      </c>
      <c r="N48" s="215" t="s">
        <v>274</v>
      </c>
      <c r="S48" s="384"/>
      <c r="T48" s="377"/>
    </row>
    <row r="49" spans="1:20" ht="15">
      <c r="A49" s="48" t="s">
        <v>18</v>
      </c>
      <c r="B49" s="49"/>
      <c r="C49" s="49"/>
      <c r="D49" s="212" t="s">
        <v>2</v>
      </c>
      <c r="E49" s="391">
        <f>IF(F49="","","примеч.")</f>
      </c>
      <c r="F49" s="759"/>
      <c r="G49" s="759"/>
      <c r="H49" s="759"/>
      <c r="I49" s="392"/>
      <c r="J49" s="393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84"/>
      <c r="T49" s="377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84"/>
      <c r="T50" s="377"/>
    </row>
    <row r="51" spans="1:57" ht="15">
      <c r="A51" s="58" t="s">
        <v>19</v>
      </c>
      <c r="B51" s="755" t="s">
        <v>20</v>
      </c>
      <c r="C51" s="755"/>
      <c r="D51" s="755"/>
      <c r="E51" s="755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84"/>
      <c r="T51" s="377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84"/>
      <c r="T52" s="377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84"/>
      <c r="T53" s="377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14" t="str">
        <f>B51</f>
        <v>высшее</v>
      </c>
      <c r="B54" s="716"/>
      <c r="C54" s="716"/>
      <c r="D54" s="716"/>
      <c r="E54" s="716"/>
      <c r="F54" s="716"/>
      <c r="G54" s="716"/>
      <c r="H54" s="716"/>
      <c r="I54" s="716"/>
      <c r="J54" s="717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84"/>
      <c r="T54" s="377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15"/>
      <c r="B55" s="716"/>
      <c r="C55" s="716"/>
      <c r="D55" s="716"/>
      <c r="E55" s="716"/>
      <c r="F55" s="716"/>
      <c r="G55" s="716"/>
      <c r="H55" s="716"/>
      <c r="I55" s="716"/>
      <c r="J55" s="717"/>
      <c r="K55" s="5"/>
      <c r="L55" s="61"/>
      <c r="M55" s="61"/>
      <c r="N55" s="61"/>
      <c r="O55" s="61"/>
      <c r="P55" s="61"/>
      <c r="Q55" s="61"/>
      <c r="R55" s="61"/>
      <c r="S55" s="384"/>
      <c r="T55" s="377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718" t="s">
        <v>24</v>
      </c>
      <c r="C56" s="718"/>
      <c r="D56" s="718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84"/>
      <c r="T56" s="377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84"/>
      <c r="T57" s="377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719"/>
      <c r="B58" s="716"/>
      <c r="C58" s="716"/>
      <c r="D58" s="716"/>
      <c r="E58" s="716"/>
      <c r="F58" s="716"/>
      <c r="G58" s="716"/>
      <c r="H58" s="716"/>
      <c r="I58" s="716"/>
      <c r="J58" s="717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84"/>
      <c r="T58" s="37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720"/>
      <c r="B59" s="716"/>
      <c r="C59" s="716"/>
      <c r="D59" s="716"/>
      <c r="E59" s="716"/>
      <c r="F59" s="716"/>
      <c r="G59" s="716"/>
      <c r="H59" s="716"/>
      <c r="I59" s="716"/>
      <c r="J59" s="717"/>
      <c r="K59" s="67"/>
      <c r="L59" s="67"/>
      <c r="M59" s="67"/>
      <c r="N59" s="67"/>
      <c r="O59" s="67"/>
      <c r="P59" s="67"/>
      <c r="Q59" s="67"/>
      <c r="R59" s="67"/>
      <c r="S59" s="384"/>
      <c r="T59" s="37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718" t="s">
        <v>24</v>
      </c>
      <c r="C60" s="718"/>
      <c r="D60" s="718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84"/>
      <c r="T60" s="377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84"/>
      <c r="T61" s="377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719"/>
      <c r="B62" s="716"/>
      <c r="C62" s="716"/>
      <c r="D62" s="716"/>
      <c r="E62" s="716"/>
      <c r="F62" s="716"/>
      <c r="G62" s="716"/>
      <c r="H62" s="716"/>
      <c r="I62" s="716"/>
      <c r="J62" s="717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84"/>
      <c r="T62" s="377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720"/>
      <c r="B63" s="716"/>
      <c r="C63" s="716"/>
      <c r="D63" s="716"/>
      <c r="E63" s="716"/>
      <c r="F63" s="716"/>
      <c r="G63" s="716"/>
      <c r="H63" s="716"/>
      <c r="I63" s="716"/>
      <c r="J63" s="717"/>
      <c r="K63" s="5"/>
      <c r="L63" s="61"/>
      <c r="M63" s="61"/>
      <c r="N63" s="61"/>
      <c r="O63" s="61"/>
      <c r="P63" s="61"/>
      <c r="Q63" s="61"/>
      <c r="R63" s="61"/>
      <c r="S63" s="384"/>
      <c r="T63" s="377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718" t="s">
        <v>24</v>
      </c>
      <c r="C64" s="718"/>
      <c r="D64" s="718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84"/>
      <c r="T64" s="377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84"/>
      <c r="T65" s="377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84"/>
      <c r="T66" s="377"/>
    </row>
    <row r="67" spans="1:20" ht="33" customHeight="1">
      <c r="A67" s="760" t="s">
        <v>402</v>
      </c>
      <c r="B67" s="768"/>
      <c r="C67" s="768"/>
      <c r="D67" s="768"/>
      <c r="E67" s="768"/>
      <c r="F67" s="768"/>
      <c r="G67" s="768"/>
      <c r="H67" s="768"/>
      <c r="I67" s="768"/>
      <c r="J67" s="24"/>
      <c r="L67" s="329"/>
      <c r="M67" s="69"/>
      <c r="N67" s="69"/>
      <c r="O67" s="69"/>
      <c r="P67" s="69"/>
      <c r="Q67" s="69"/>
      <c r="R67" s="69"/>
      <c r="S67" s="384"/>
      <c r="T67" s="377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84"/>
      <c r="T68" s="377"/>
    </row>
    <row r="69" spans="1:57" ht="16.5" customHeight="1">
      <c r="A69" s="415" t="s">
        <v>692</v>
      </c>
      <c r="B69" s="12"/>
      <c r="C69" s="12"/>
      <c r="D69" s="72"/>
      <c r="E69" s="73"/>
      <c r="F69" s="74"/>
      <c r="G69" s="74"/>
      <c r="H69" s="74"/>
      <c r="I69" s="12"/>
      <c r="J69" s="20"/>
      <c r="K69" s="625" t="s">
        <v>583</v>
      </c>
      <c r="L69" s="415" t="s">
        <v>582</v>
      </c>
      <c r="M69" s="67"/>
      <c r="N69" s="67"/>
      <c r="O69" s="67"/>
      <c r="P69" s="67"/>
      <c r="Q69" s="67"/>
      <c r="R69" s="67"/>
      <c r="S69" s="384"/>
      <c r="T69" s="37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15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84"/>
      <c r="T70" s="37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763" t="s">
        <v>25</v>
      </c>
      <c r="B71" s="764"/>
      <c r="C71" s="764"/>
      <c r="D71" s="75"/>
      <c r="E71" s="357" t="s">
        <v>24</v>
      </c>
      <c r="F71" s="12"/>
      <c r="G71" s="76"/>
      <c r="H71" s="41">
        <f>IF(A71="нет","",IF(L71=1,"курс","г."))</f>
      </c>
      <c r="I71" s="12"/>
      <c r="J71" s="483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84"/>
      <c r="T71" s="37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83"/>
      <c r="K72" s="5"/>
      <c r="N72" s="5"/>
      <c r="S72" s="384"/>
      <c r="T72" s="37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716"/>
      <c r="C73" s="716"/>
      <c r="D73" s="716"/>
      <c r="E73" s="716"/>
      <c r="F73" s="716"/>
      <c r="G73" s="716"/>
      <c r="H73" s="716"/>
      <c r="I73" s="716"/>
      <c r="J73" s="717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84"/>
      <c r="T73" s="37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716"/>
      <c r="C74" s="716"/>
      <c r="D74" s="716"/>
      <c r="E74" s="716"/>
      <c r="F74" s="716"/>
      <c r="G74" s="716"/>
      <c r="H74" s="716"/>
      <c r="I74" s="716"/>
      <c r="J74" s="717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84"/>
      <c r="T74" s="37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716"/>
      <c r="C75" s="716"/>
      <c r="D75" s="716"/>
      <c r="E75" s="716"/>
      <c r="F75" s="716"/>
      <c r="G75" s="716"/>
      <c r="H75" s="716"/>
      <c r="I75" s="716"/>
      <c r="J75" s="717"/>
      <c r="K75" s="83"/>
      <c r="L75" s="53" t="s">
        <v>29</v>
      </c>
      <c r="N75" s="81" t="s">
        <v>25</v>
      </c>
      <c r="O75" s="69"/>
      <c r="P75" s="69"/>
      <c r="R75" s="69"/>
      <c r="S75" s="384"/>
      <c r="T75" s="37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310" t="s">
        <v>30</v>
      </c>
      <c r="M76" s="27"/>
      <c r="N76" s="81" t="s">
        <v>32</v>
      </c>
      <c r="O76" s="69"/>
      <c r="P76" s="69"/>
      <c r="R76" s="69"/>
      <c r="S76" s="384"/>
      <c r="T76" s="37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84"/>
      <c r="T77" s="377"/>
    </row>
    <row r="78" spans="1:20" ht="15">
      <c r="A78" s="723" t="s">
        <v>27</v>
      </c>
      <c r="B78" s="724"/>
      <c r="C78" s="724"/>
      <c r="D78" s="724"/>
      <c r="E78" s="724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84"/>
      <c r="T78" s="377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84"/>
      <c r="S79" s="384"/>
      <c r="T79" s="377"/>
    </row>
    <row r="80" spans="1:20" ht="15">
      <c r="A80" s="28" t="s">
        <v>35</v>
      </c>
      <c r="B80" s="29"/>
      <c r="C80" s="29"/>
      <c r="D80" s="29"/>
      <c r="E80" s="29"/>
      <c r="F80" s="12"/>
      <c r="G80" s="692" t="s">
        <v>25</v>
      </c>
      <c r="H80" s="692"/>
      <c r="I80" s="29"/>
      <c r="J80" s="484"/>
      <c r="S80" s="384"/>
      <c r="T80" s="377"/>
    </row>
    <row r="81" spans="1:20" ht="15" customHeight="1">
      <c r="A81" s="709" t="s">
        <v>36</v>
      </c>
      <c r="B81" s="710"/>
      <c r="C81" s="710"/>
      <c r="D81" s="710"/>
      <c r="E81" s="710"/>
      <c r="F81" s="710"/>
      <c r="G81" s="692" t="s">
        <v>25</v>
      </c>
      <c r="H81" s="692"/>
      <c r="I81" s="29"/>
      <c r="J81" s="484"/>
      <c r="S81" s="384"/>
      <c r="T81" s="377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84"/>
      <c r="S82" s="384"/>
      <c r="T82" s="377"/>
    </row>
    <row r="83" spans="1:20" ht="15">
      <c r="A83" s="28" t="s">
        <v>37</v>
      </c>
      <c r="B83" s="29"/>
      <c r="C83" s="29"/>
      <c r="D83" s="29"/>
      <c r="E83" s="29"/>
      <c r="F83" s="12"/>
      <c r="G83" s="692" t="s">
        <v>25</v>
      </c>
      <c r="H83" s="692"/>
      <c r="I83" s="97"/>
      <c r="J83" s="98"/>
      <c r="M83" s="27"/>
      <c r="N83" s="3"/>
      <c r="O83" s="69"/>
      <c r="P83" s="69"/>
      <c r="Q83" s="69"/>
      <c r="R83" s="69"/>
      <c r="S83" s="384"/>
      <c r="T83" s="377"/>
    </row>
    <row r="84" spans="1:20" ht="15">
      <c r="A84" s="28" t="s">
        <v>38</v>
      </c>
      <c r="B84" s="29"/>
      <c r="C84" s="29"/>
      <c r="D84" s="29"/>
      <c r="E84" s="29"/>
      <c r="F84" s="12"/>
      <c r="G84" s="692" t="s">
        <v>25</v>
      </c>
      <c r="H84" s="692"/>
      <c r="I84" s="97" t="s">
        <v>39</v>
      </c>
      <c r="J84" s="99"/>
      <c r="M84" s="27"/>
      <c r="N84" s="100">
        <v>0</v>
      </c>
      <c r="O84" s="69"/>
      <c r="P84" s="69"/>
      <c r="Q84" s="69"/>
      <c r="R84" s="69"/>
      <c r="S84" s="384"/>
      <c r="T84" s="377"/>
    </row>
    <row r="85" spans="1:20" ht="13.5" hidden="1">
      <c r="A85" s="416"/>
      <c r="B85" s="485" t="s">
        <v>479</v>
      </c>
      <c r="C85" s="12"/>
      <c r="D85" s="486" t="s">
        <v>480</v>
      </c>
      <c r="E85" s="29"/>
      <c r="F85" s="29"/>
      <c r="G85" s="417" t="str">
        <f>ЭЗ!Y62</f>
        <v>нет</v>
      </c>
      <c r="H85" s="29"/>
      <c r="I85" s="487" t="s">
        <v>486</v>
      </c>
      <c r="J85" s="419"/>
      <c r="M85" s="27"/>
      <c r="N85" s="100"/>
      <c r="O85" s="69"/>
      <c r="P85" s="69"/>
      <c r="Q85" s="69"/>
      <c r="R85" s="69"/>
      <c r="S85" s="384"/>
      <c r="T85" s="377"/>
    </row>
    <row r="86" spans="1:20" ht="13.5" hidden="1">
      <c r="A86" s="416"/>
      <c r="B86" s="12"/>
      <c r="C86" s="12"/>
      <c r="D86" s="488" t="s">
        <v>481</v>
      </c>
      <c r="E86" s="51"/>
      <c r="F86" s="50"/>
      <c r="G86" s="417" t="str">
        <f>IF(AND(A71&lt;&gt;"нет",K73&lt;&gt;0),"да","нет")</f>
        <v>нет</v>
      </c>
      <c r="H86" s="12"/>
      <c r="I86" s="489" t="s">
        <v>487</v>
      </c>
      <c r="J86" s="419"/>
      <c r="M86" s="27"/>
      <c r="N86" s="100"/>
      <c r="O86" s="69"/>
      <c r="P86" s="69"/>
      <c r="Q86" s="69"/>
      <c r="R86" s="69"/>
      <c r="S86" s="384"/>
      <c r="T86" s="377"/>
    </row>
    <row r="87" spans="1:20" ht="26.25" hidden="1">
      <c r="A87" s="490"/>
      <c r="B87" s="12"/>
      <c r="C87" s="12"/>
      <c r="D87" s="491" t="s">
        <v>482</v>
      </c>
      <c r="E87" s="454"/>
      <c r="F87" s="72"/>
      <c r="G87" s="418" t="str">
        <f>IF(ЭЗ!Y411&gt;0,"да","нет")</f>
        <v>нет</v>
      </c>
      <c r="H87" s="386"/>
      <c r="I87" s="492" t="s">
        <v>456</v>
      </c>
      <c r="J87" s="420"/>
      <c r="K87" s="421" t="s">
        <v>488</v>
      </c>
      <c r="L87" s="422" t="s">
        <v>489</v>
      </c>
      <c r="M87" s="27"/>
      <c r="N87" s="11"/>
      <c r="O87" s="12"/>
      <c r="S87" s="384"/>
      <c r="T87" s="377"/>
    </row>
    <row r="88" spans="1:20" ht="17.25" hidden="1">
      <c r="A88" s="689" t="str">
        <f>IF(вывод1="да",_72ч,"")</f>
        <v>В течение одного года пройти обучение по программе повышения квалификации. 
</v>
      </c>
      <c r="B88" s="690"/>
      <c r="C88" s="690"/>
      <c r="D88" s="690"/>
      <c r="E88" s="690"/>
      <c r="F88" s="690"/>
      <c r="G88" s="690"/>
      <c r="H88" s="690"/>
      <c r="I88" s="690"/>
      <c r="J88" s="691"/>
      <c r="K88" s="479" t="str">
        <f>IF(COUNTIF(G78:H87,"да"),"нет","да")</f>
        <v>да</v>
      </c>
      <c r="L88" s="423" t="s">
        <v>490</v>
      </c>
      <c r="M88" s="27"/>
      <c r="N88" s="11"/>
      <c r="O88" s="12"/>
      <c r="S88" s="384"/>
      <c r="T88" s="377"/>
    </row>
    <row r="89" spans="1:20" ht="12.75" hidden="1">
      <c r="A89" s="689"/>
      <c r="B89" s="690"/>
      <c r="C89" s="690"/>
      <c r="D89" s="690"/>
      <c r="E89" s="690"/>
      <c r="F89" s="690"/>
      <c r="G89" s="690"/>
      <c r="H89" s="690"/>
      <c r="I89" s="690"/>
      <c r="J89" s="691"/>
      <c r="K89" s="103"/>
      <c r="M89" s="27"/>
      <c r="N89" s="11"/>
      <c r="O89" s="12"/>
      <c r="S89" s="384"/>
      <c r="T89" s="377"/>
    </row>
    <row r="90" spans="1:20" ht="6" customHeight="1">
      <c r="A90" s="493"/>
      <c r="B90" s="494"/>
      <c r="C90" s="494"/>
      <c r="D90" s="766"/>
      <c r="E90" s="766"/>
      <c r="F90" s="766"/>
      <c r="G90" s="766"/>
      <c r="H90" s="766"/>
      <c r="I90" s="766"/>
      <c r="J90" s="767"/>
      <c r="L90" s="5"/>
      <c r="M90" s="5"/>
      <c r="N90" s="104"/>
      <c r="O90" s="18"/>
      <c r="P90" s="57"/>
      <c r="Q90" s="57"/>
      <c r="R90" s="69"/>
      <c r="S90" s="384"/>
      <c r="T90" s="377"/>
    </row>
    <row r="91" spans="1:20" ht="20.25" customHeight="1">
      <c r="A91" s="721" t="s">
        <v>41</v>
      </c>
      <c r="B91" s="722"/>
      <c r="C91" s="722"/>
      <c r="D91" s="722"/>
      <c r="E91" s="722"/>
      <c r="F91" s="722"/>
      <c r="G91" s="722"/>
      <c r="H91" s="722"/>
      <c r="I91" s="722"/>
      <c r="J91" s="105"/>
      <c r="K91" s="106" t="s">
        <v>42</v>
      </c>
      <c r="M91" s="27"/>
      <c r="N91" s="104"/>
      <c r="O91" s="18"/>
      <c r="P91" s="57"/>
      <c r="Q91" s="57"/>
      <c r="R91" s="57"/>
      <c r="S91" s="384"/>
      <c r="T91" s="377"/>
    </row>
    <row r="92" spans="1:20" s="57" customFormat="1" ht="6.75" customHeight="1">
      <c r="A92" s="380"/>
      <c r="B92" s="381"/>
      <c r="C92" s="381"/>
      <c r="D92" s="381"/>
      <c r="E92" s="381"/>
      <c r="F92" s="381"/>
      <c r="G92" s="381"/>
      <c r="H92" s="381"/>
      <c r="I92" s="381"/>
      <c r="J92" s="382"/>
      <c r="K92" s="383"/>
      <c r="L92" s="114"/>
      <c r="M92" s="219"/>
      <c r="N92" s="104"/>
      <c r="O92" s="18"/>
      <c r="S92" s="384"/>
      <c r="T92" s="377"/>
    </row>
    <row r="93" spans="1:20" ht="1.5" customHeight="1">
      <c r="A93" s="709" t="str">
        <f>L172</f>
        <v>Наличие/получение высшего или среднего профессионального образования</v>
      </c>
      <c r="B93" s="710"/>
      <c r="C93" s="710"/>
      <c r="D93" s="710"/>
      <c r="E93" s="710"/>
      <c r="F93" s="710"/>
      <c r="G93" s="710"/>
      <c r="H93" s="710"/>
      <c r="I93" s="12"/>
      <c r="J93" s="20"/>
      <c r="K93" s="107"/>
      <c r="N93" s="11"/>
      <c r="O93" s="12"/>
      <c r="S93" s="384"/>
      <c r="T93" s="377"/>
    </row>
    <row r="94" spans="1:20" ht="18" customHeight="1">
      <c r="A94" s="709"/>
      <c r="B94" s="710"/>
      <c r="C94" s="710"/>
      <c r="D94" s="710"/>
      <c r="E94" s="710"/>
      <c r="F94" s="710"/>
      <c r="G94" s="710"/>
      <c r="H94" s="710"/>
      <c r="I94" s="23" t="s">
        <v>25</v>
      </c>
      <c r="J94" s="108" t="str">
        <f>IF(OR(G80="да",G81="да",G85="да"),"да",рек2)</f>
        <v>нет</v>
      </c>
      <c r="K94" s="102" t="s">
        <v>44</v>
      </c>
      <c r="M94" s="103"/>
      <c r="S94" s="384"/>
      <c r="T94" s="377"/>
    </row>
    <row r="95" spans="1:20" ht="21.75" customHeight="1" hidden="1">
      <c r="A95" s="709"/>
      <c r="B95" s="710"/>
      <c r="C95" s="710"/>
      <c r="D95" s="710"/>
      <c r="E95" s="710"/>
      <c r="F95" s="710"/>
      <c r="G95" s="710"/>
      <c r="H95" s="710"/>
      <c r="I95" s="109"/>
      <c r="J95" s="71"/>
      <c r="K95" s="103"/>
      <c r="L95" s="637" t="s">
        <v>655</v>
      </c>
      <c r="S95" s="384"/>
      <c r="T95" s="377"/>
    </row>
    <row r="96" spans="1:20" ht="15" customHeight="1" hidden="1">
      <c r="A96" s="709" t="str">
        <f>M172</f>
        <v> ---</v>
      </c>
      <c r="B96" s="710"/>
      <c r="C96" s="710"/>
      <c r="D96" s="710"/>
      <c r="E96" s="710"/>
      <c r="F96" s="710"/>
      <c r="G96" s="710"/>
      <c r="H96" s="710"/>
      <c r="I96" s="12"/>
      <c r="J96" s="20"/>
      <c r="K96" s="103"/>
      <c r="L96" s="450" t="s">
        <v>513</v>
      </c>
      <c r="M96" s="3" t="s">
        <v>503</v>
      </c>
      <c r="N96" s="111" t="str">
        <f>IF(долж_ОС="учитель","учитель","преподаватель")</f>
        <v>преподаватель</v>
      </c>
      <c r="S96" s="384"/>
      <c r="T96" s="377"/>
    </row>
    <row r="97" spans="1:20" ht="13.5" hidden="1">
      <c r="A97" s="709"/>
      <c r="B97" s="710"/>
      <c r="C97" s="710"/>
      <c r="D97" s="710"/>
      <c r="E97" s="710"/>
      <c r="F97" s="710"/>
      <c r="G97" s="710"/>
      <c r="H97" s="710"/>
      <c r="I97" s="23" t="s">
        <v>25</v>
      </c>
      <c r="J97" s="98"/>
      <c r="K97" s="102" t="s">
        <v>46</v>
      </c>
      <c r="L97" s="451" t="s">
        <v>512</v>
      </c>
      <c r="M97" s="3" t="s">
        <v>653</v>
      </c>
      <c r="N97" s="4" t="s">
        <v>654</v>
      </c>
      <c r="O97" s="5" t="s">
        <v>656</v>
      </c>
      <c r="S97" s="384"/>
      <c r="T97" s="377"/>
    </row>
    <row r="98" spans="1:20" ht="17.25" hidden="1">
      <c r="A98" s="495" t="s">
        <v>40</v>
      </c>
      <c r="B98" s="425" t="s">
        <v>491</v>
      </c>
      <c r="C98" s="320"/>
      <c r="D98" s="320"/>
      <c r="E98" s="12"/>
      <c r="F98" s="424" t="str">
        <f>HLOOKUP(G98,$L$97:$S$98,2)</f>
        <v>да</v>
      </c>
      <c r="G98" s="433" t="s">
        <v>512</v>
      </c>
      <c r="H98" s="12"/>
      <c r="I98" s="12"/>
      <c r="J98" s="20"/>
      <c r="K98" s="18"/>
      <c r="L98" s="431" t="str">
        <f>IF(AND(J94="нет",рек3="нет"),"да","нет")</f>
        <v>да</v>
      </c>
      <c r="M98" s="431" t="str">
        <f>IF(AND(I94="да",рек3="да"),"нет","да")</f>
        <v>да</v>
      </c>
      <c r="N98" s="431" t="str">
        <f>IF(AND(J94="нет",рек3="нет"),"да","нет")</f>
        <v>да</v>
      </c>
      <c r="O98" s="431" t="str">
        <f>IF(J94="нет","да","нет")</f>
        <v>да</v>
      </c>
      <c r="S98" s="384"/>
      <c r="T98" s="377"/>
    </row>
    <row r="99" spans="1:20" ht="40.5" hidden="1">
      <c r="A99" s="689" t="str">
        <f>IF(F98="да",_дпо,"")</f>
        <v>Получить  дополнительное профессиональное образование по направлению подготовки "Образование и педагогика". </v>
      </c>
      <c r="B99" s="690"/>
      <c r="C99" s="690"/>
      <c r="D99" s="690"/>
      <c r="E99" s="690"/>
      <c r="F99" s="690"/>
      <c r="G99" s="690"/>
      <c r="H99" s="690"/>
      <c r="I99" s="690"/>
      <c r="J99" s="691"/>
      <c r="K99" s="102" t="s">
        <v>47</v>
      </c>
      <c r="L99" s="432" t="s">
        <v>504</v>
      </c>
      <c r="M99" s="432" t="s">
        <v>505</v>
      </c>
      <c r="N99" s="432" t="s">
        <v>504</v>
      </c>
      <c r="S99" s="384"/>
      <c r="T99" s="377"/>
    </row>
    <row r="100" spans="1:20" ht="12.75" hidden="1">
      <c r="A100" s="689">
        <f>IF(рек3="нет",_рек3,"")</f>
      </c>
      <c r="B100" s="690"/>
      <c r="C100" s="690"/>
      <c r="D100" s="690"/>
      <c r="E100" s="690"/>
      <c r="F100" s="690"/>
      <c r="G100" s="690"/>
      <c r="H100" s="690"/>
      <c r="I100" s="690"/>
      <c r="J100" s="691"/>
      <c r="K100" s="102" t="s">
        <v>48</v>
      </c>
      <c r="M100" s="110"/>
      <c r="S100" s="384"/>
      <c r="T100" s="377"/>
    </row>
    <row r="101" spans="1:20" ht="6.7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84"/>
      <c r="T101" s="377"/>
    </row>
    <row r="102" spans="1:20" s="57" customFormat="1" ht="13.5">
      <c r="A102" s="760" t="s">
        <v>520</v>
      </c>
      <c r="B102" s="761"/>
      <c r="C102" s="761"/>
      <c r="D102" s="761"/>
      <c r="E102" s="761"/>
      <c r="F102" s="761"/>
      <c r="G102" s="761"/>
      <c r="H102" s="761"/>
      <c r="I102" s="761"/>
      <c r="J102" s="105"/>
      <c r="M102" s="101"/>
      <c r="O102" s="18"/>
      <c r="S102" s="384"/>
      <c r="T102" s="377"/>
    </row>
    <row r="103" spans="1:20" ht="10.5" customHeight="1">
      <c r="A103" s="496"/>
      <c r="B103" s="320"/>
      <c r="C103" s="320"/>
      <c r="D103" s="320"/>
      <c r="E103" s="320"/>
      <c r="F103" s="320"/>
      <c r="G103" s="320"/>
      <c r="H103" s="320"/>
      <c r="I103" s="320"/>
      <c r="J103" s="497"/>
      <c r="L103" s="5"/>
      <c r="M103" s="5"/>
      <c r="N103" s="104"/>
      <c r="O103" s="18"/>
      <c r="P103" s="57"/>
      <c r="Q103" s="57"/>
      <c r="R103" s="69"/>
      <c r="S103" s="384"/>
      <c r="T103" s="377"/>
    </row>
    <row r="104" spans="1:20" ht="19.5" customHeight="1">
      <c r="A104" s="376" t="s">
        <v>511</v>
      </c>
      <c r="B104" s="320"/>
      <c r="C104" s="320"/>
      <c r="D104" s="320"/>
      <c r="E104" s="320"/>
      <c r="F104" s="320"/>
      <c r="G104" s="762" t="s">
        <v>25</v>
      </c>
      <c r="H104" s="762"/>
      <c r="I104" s="12"/>
      <c r="J104" s="497"/>
      <c r="K104" s="5"/>
      <c r="L104" s="5"/>
      <c r="M104" s="265"/>
      <c r="N104" s="104"/>
      <c r="O104" s="18"/>
      <c r="P104" s="57"/>
      <c r="Q104" s="57"/>
      <c r="S104" s="384"/>
      <c r="T104" s="377"/>
    </row>
    <row r="105" spans="1:20" ht="6.75" customHeight="1">
      <c r="A105" s="496"/>
      <c r="B105" s="320"/>
      <c r="C105" s="320"/>
      <c r="D105" s="320"/>
      <c r="E105" s="320">
        <f>IF(D104="да",#REF!,"")</f>
      </c>
      <c r="F105" s="320"/>
      <c r="G105" s="320"/>
      <c r="H105" s="320"/>
      <c r="I105" s="320"/>
      <c r="J105" s="497"/>
      <c r="L105" s="57"/>
      <c r="M105" s="219"/>
      <c r="N105" s="104"/>
      <c r="O105" s="18"/>
      <c r="P105" s="57"/>
      <c r="Q105" s="57"/>
      <c r="R105" s="57"/>
      <c r="S105" s="384"/>
      <c r="T105" s="377"/>
    </row>
    <row r="106" spans="1:20" ht="21" customHeight="1">
      <c r="A106" s="678" t="s">
        <v>49</v>
      </c>
      <c r="B106" s="679"/>
      <c r="C106" s="679"/>
      <c r="D106" s="679"/>
      <c r="E106" s="679"/>
      <c r="F106" s="679"/>
      <c r="G106" s="679"/>
      <c r="H106" s="679"/>
      <c r="I106" s="679"/>
      <c r="J106" s="24"/>
      <c r="K106" s="25"/>
      <c r="L106" s="103"/>
      <c r="M106" s="10"/>
      <c r="N106" s="11"/>
      <c r="O106" s="12"/>
      <c r="P106" s="12"/>
      <c r="Q106" s="12"/>
      <c r="R106" s="12"/>
      <c r="S106" s="384"/>
      <c r="T106" s="377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84"/>
      <c r="T107" s="37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3.5">
      <c r="A108" s="117" t="s">
        <v>50</v>
      </c>
      <c r="B108" s="25"/>
      <c r="C108" s="25"/>
      <c r="D108" s="25"/>
      <c r="E108" s="25"/>
      <c r="F108" s="508">
        <v>2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84"/>
      <c r="T108" s="37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84"/>
      <c r="T109" s="377"/>
    </row>
    <row r="110" spans="1:20" ht="13.5">
      <c r="A110" s="121" t="s">
        <v>51</v>
      </c>
      <c r="B110" s="69"/>
      <c r="C110" s="680"/>
      <c r="D110" s="680"/>
      <c r="E110" s="680"/>
      <c r="F110" s="680"/>
      <c r="G110" s="680"/>
      <c r="H110" s="680"/>
      <c r="I110" s="680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84"/>
      <c r="T110" s="377"/>
    </row>
    <row r="111" spans="1:20" ht="16.5">
      <c r="A111" s="693" t="s">
        <v>52</v>
      </c>
      <c r="B111" s="69"/>
      <c r="C111" s="708" t="s">
        <v>53</v>
      </c>
      <c r="D111" s="708"/>
      <c r="E111" s="708"/>
      <c r="F111" s="708"/>
      <c r="G111" s="708"/>
      <c r="H111" s="708"/>
      <c r="I111" s="124"/>
      <c r="J111" s="125"/>
      <c r="K111" s="126"/>
      <c r="L111" s="26"/>
      <c r="R111" s="12"/>
      <c r="S111" s="384"/>
      <c r="T111" s="377"/>
    </row>
    <row r="112" spans="1:20" ht="15.75" customHeight="1">
      <c r="A112" s="693"/>
      <c r="B112" s="127" t="s">
        <v>54</v>
      </c>
      <c r="C112" s="680"/>
      <c r="D112" s="680"/>
      <c r="E112" s="680"/>
      <c r="F112" s="680"/>
      <c r="G112" s="680"/>
      <c r="H112" s="680"/>
      <c r="I112" s="680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84"/>
      <c r="T112" s="377"/>
    </row>
    <row r="113" spans="1:20" ht="16.5">
      <c r="A113" s="128"/>
      <c r="B113" s="127"/>
      <c r="C113" s="708" t="s">
        <v>53</v>
      </c>
      <c r="D113" s="708"/>
      <c r="E113" s="708"/>
      <c r="F113" s="708"/>
      <c r="G113" s="708"/>
      <c r="H113" s="708"/>
      <c r="I113" s="124"/>
      <c r="J113" s="125"/>
      <c r="K113" s="126"/>
      <c r="R113" s="12"/>
      <c r="S113" s="384"/>
      <c r="T113" s="377"/>
    </row>
    <row r="114" spans="1:20" ht="12.75" customHeight="1">
      <c r="A114" s="128"/>
      <c r="B114" s="127" t="str">
        <f>IF($F$108&gt;1,"2)","")</f>
        <v>2)</v>
      </c>
      <c r="C114" s="680"/>
      <c r="D114" s="680"/>
      <c r="E114" s="680"/>
      <c r="F114" s="680"/>
      <c r="G114" s="680"/>
      <c r="H114" s="680"/>
      <c r="I114" s="680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84"/>
      <c r="T114" s="377"/>
    </row>
    <row r="115" spans="1:20" ht="16.5">
      <c r="A115" s="128"/>
      <c r="B115" s="127"/>
      <c r="C115" s="708" t="s">
        <v>53</v>
      </c>
      <c r="D115" s="708"/>
      <c r="E115" s="708"/>
      <c r="F115" s="708"/>
      <c r="G115" s="708"/>
      <c r="H115" s="708"/>
      <c r="I115" s="124"/>
      <c r="J115" s="125"/>
      <c r="K115" s="126"/>
      <c r="R115" s="12"/>
      <c r="S115" s="384"/>
      <c r="T115" s="377"/>
    </row>
    <row r="116" spans="1:20" ht="15.75" customHeight="1" hidden="1">
      <c r="A116" s="129"/>
      <c r="B116" s="127">
        <f>IF($F$108&gt;2,"3)","")</f>
      </c>
      <c r="C116" s="694"/>
      <c r="D116" s="694"/>
      <c r="E116" s="694"/>
      <c r="F116" s="694"/>
      <c r="G116" s="694"/>
      <c r="H116" s="694"/>
      <c r="I116" s="694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84"/>
      <c r="T116" s="377"/>
    </row>
    <row r="117" spans="1:20" ht="15.75" customHeight="1" hidden="1">
      <c r="A117" s="129"/>
      <c r="B117" s="130"/>
      <c r="C117" s="695" t="s">
        <v>55</v>
      </c>
      <c r="D117" s="695"/>
      <c r="E117" s="695"/>
      <c r="F117" s="695"/>
      <c r="G117" s="695"/>
      <c r="H117" s="695"/>
      <c r="I117" s="124"/>
      <c r="J117" s="125"/>
      <c r="K117" s="126"/>
      <c r="R117" s="12"/>
      <c r="S117" s="384"/>
      <c r="T117" s="377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84"/>
      <c r="T118" s="377"/>
    </row>
    <row r="119" spans="1:20" ht="15.75" customHeight="1">
      <c r="A119" s="132" t="s">
        <v>56</v>
      </c>
      <c r="B119" s="133" t="s">
        <v>57</v>
      </c>
      <c r="C119" s="512">
        <v>1</v>
      </c>
      <c r="D119" s="134" t="s">
        <v>58</v>
      </c>
      <c r="E119" s="512" t="s">
        <v>59</v>
      </c>
      <c r="F119" s="135"/>
      <c r="G119" s="136">
        <v>20</v>
      </c>
      <c r="H119" s="513">
        <v>21</v>
      </c>
      <c r="I119" s="137" t="s">
        <v>60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84"/>
      <c r="T119" s="377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84"/>
      <c r="T120" s="377"/>
    </row>
    <row r="121" spans="1:20" ht="24" customHeight="1">
      <c r="A121" s="696" t="s">
        <v>458</v>
      </c>
      <c r="B121" s="697"/>
      <c r="C121" s="697"/>
      <c r="D121" s="697"/>
      <c r="E121" s="697"/>
      <c r="F121" s="697"/>
      <c r="G121" s="697"/>
      <c r="H121" s="697"/>
      <c r="I121" s="697"/>
      <c r="J121" s="498"/>
      <c r="K121" s="18"/>
      <c r="R121" s="12"/>
      <c r="S121" s="384"/>
      <c r="T121" s="377"/>
    </row>
    <row r="122" spans="1:20" ht="15.75" customHeight="1">
      <c r="A122" s="517"/>
      <c r="B122" s="518"/>
      <c r="C122" s="518"/>
      <c r="D122" s="519"/>
      <c r="E122" s="520">
        <f>IF(F122="","","Всего набрано аттестуемым педагогическим работником  ")</f>
      </c>
      <c r="F122" s="521">
        <f>ЭЗ!Всего</f>
      </c>
      <c r="G122" s="522">
        <f>IF(F122="","","баллов.")</f>
      </c>
      <c r="H122" s="519"/>
      <c r="I122" s="523">
        <f>IF(F122="","","(мин. П-"&amp;порог_п&amp;", В-"&amp;порог_в&amp;")")</f>
      </c>
      <c r="J122" s="405"/>
      <c r="K122" s="18"/>
      <c r="R122" s="12"/>
      <c r="S122" s="384"/>
      <c r="T122" s="377"/>
    </row>
    <row r="123" spans="1:20" ht="21.75" customHeight="1">
      <c r="A123" s="524"/>
      <c r="B123" s="525"/>
      <c r="C123" s="525"/>
      <c r="D123" s="525"/>
      <c r="E123" s="525"/>
      <c r="F123" s="526"/>
      <c r="G123" s="525"/>
      <c r="H123" s="525"/>
      <c r="I123" s="18"/>
      <c r="J123" s="527">
        <f>IF(OR(F122="",долж_ОС&lt;&gt;"учитель"),"",B27)</f>
      </c>
      <c r="K123" s="18"/>
      <c r="R123" s="12"/>
      <c r="S123" s="384"/>
      <c r="T123" s="377"/>
    </row>
    <row r="124" spans="1:20" ht="15" customHeight="1">
      <c r="A124" s="752">
        <f>IF(OR(фио_ОС="",F122=0),"",ЭЗ!Z83&amp;K125&amp;ЭЗ!Z84)</f>
      </c>
      <c r="B124" s="753"/>
      <c r="C124" s="753"/>
      <c r="D124" s="753"/>
      <c r="E124" s="753"/>
      <c r="F124" s="753"/>
      <c r="G124" s="753"/>
      <c r="H124" s="753"/>
      <c r="I124" s="753"/>
      <c r="J124" s="754"/>
      <c r="K124" s="18">
        <f>ЭЗ!Z82</f>
      </c>
      <c r="R124" s="12"/>
      <c r="S124" s="384"/>
      <c r="T124" s="377"/>
    </row>
    <row r="125" spans="1:20" ht="23.25" customHeight="1">
      <c r="A125" s="752"/>
      <c r="B125" s="753"/>
      <c r="C125" s="753"/>
      <c r="D125" s="753"/>
      <c r="E125" s="753"/>
      <c r="F125" s="753"/>
      <c r="G125" s="753"/>
      <c r="H125" s="753"/>
      <c r="I125" s="753"/>
      <c r="J125" s="754"/>
      <c r="K125" s="430" t="s">
        <v>463</v>
      </c>
      <c r="L125" s="2" t="s">
        <v>501</v>
      </c>
      <c r="R125" s="12"/>
      <c r="S125" s="384"/>
      <c r="T125" s="377"/>
    </row>
    <row r="126" spans="1:20" ht="15.75" customHeight="1">
      <c r="A126" s="711">
        <f>IF(A127="","","Рекомендации: ")</f>
      </c>
      <c r="B126" s="712"/>
      <c r="C126" s="712"/>
      <c r="D126" s="712"/>
      <c r="E126" s="712"/>
      <c r="F126" s="712"/>
      <c r="G126" s="712"/>
      <c r="H126" s="712"/>
      <c r="I126" s="712"/>
      <c r="J126" s="713"/>
      <c r="K126" s="18"/>
      <c r="R126" s="12"/>
      <c r="S126" s="384"/>
      <c r="T126" s="377"/>
    </row>
    <row r="127" spans="1:20" ht="29.25" customHeight="1">
      <c r="A127" s="698">
        <f>IF(фио_ОС="","",рек_итог)</f>
      </c>
      <c r="B127" s="699"/>
      <c r="C127" s="699"/>
      <c r="D127" s="699"/>
      <c r="E127" s="699"/>
      <c r="F127" s="699"/>
      <c r="G127" s="699"/>
      <c r="H127" s="699"/>
      <c r="I127" s="699"/>
      <c r="J127" s="700"/>
      <c r="K127" s="18"/>
      <c r="R127" s="12"/>
      <c r="S127" s="384"/>
      <c r="T127" s="377"/>
    </row>
    <row r="128" spans="1:20" ht="2.25" customHeight="1">
      <c r="A128" s="528"/>
      <c r="B128" s="529"/>
      <c r="C128" s="529"/>
      <c r="D128" s="529"/>
      <c r="E128" s="529"/>
      <c r="F128" s="529"/>
      <c r="G128" s="529"/>
      <c r="H128" s="529"/>
      <c r="I128" s="529"/>
      <c r="J128" s="140"/>
      <c r="K128" s="18"/>
      <c r="R128" s="12"/>
      <c r="S128" s="384"/>
      <c r="T128" s="377"/>
    </row>
    <row r="129" spans="1:20" ht="15.75" customHeight="1">
      <c r="A129" s="702" t="str">
        <f>IF(ЭЗ!A466&lt;12,"Введите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03"/>
      <c r="C129" s="703"/>
      <c r="D129" s="703"/>
      <c r="E129" s="703"/>
      <c r="F129" s="703"/>
      <c r="G129" s="703"/>
      <c r="H129" s="703"/>
      <c r="I129" s="703"/>
      <c r="J129" s="704"/>
      <c r="K129" s="1"/>
      <c r="R129" s="12"/>
      <c r="S129" s="384"/>
      <c r="T129" s="377"/>
    </row>
    <row r="130" spans="1:20" ht="9" customHeight="1">
      <c r="A130" s="705"/>
      <c r="B130" s="706"/>
      <c r="C130" s="706"/>
      <c r="D130" s="706"/>
      <c r="E130" s="706"/>
      <c r="F130" s="706"/>
      <c r="G130" s="706"/>
      <c r="H130" s="706"/>
      <c r="I130" s="706"/>
      <c r="J130" s="707"/>
      <c r="K130" s="315" t="s">
        <v>61</v>
      </c>
      <c r="R130" s="12"/>
      <c r="S130" s="384"/>
      <c r="T130" s="377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84"/>
      <c r="T131" s="377"/>
    </row>
    <row r="132" spans="1:20" ht="15.75" customHeight="1" hidden="1">
      <c r="A132" s="12">
        <v>1</v>
      </c>
      <c r="B132" s="313" t="s">
        <v>62</v>
      </c>
      <c r="C132" s="314" t="s">
        <v>63</v>
      </c>
      <c r="D132" s="315" t="s">
        <v>64</v>
      </c>
      <c r="E132" s="314" t="s">
        <v>65</v>
      </c>
      <c r="F132" s="313" t="s">
        <v>66</v>
      </c>
      <c r="G132" s="314" t="s">
        <v>67</v>
      </c>
      <c r="H132" s="313" t="s">
        <v>68</v>
      </c>
      <c r="I132" s="316"/>
      <c r="J132" s="317" t="s">
        <v>338</v>
      </c>
      <c r="K132" s="2"/>
      <c r="L132" s="3"/>
      <c r="M132" s="4"/>
      <c r="N132" s="5"/>
      <c r="P132" s="142"/>
      <c r="Q132" s="12"/>
      <c r="R132" s="12"/>
      <c r="S132" s="384"/>
      <c r="T132" s="377"/>
    </row>
    <row r="133" spans="1:20" ht="15.75" customHeight="1" hidden="1">
      <c r="A133" s="12">
        <v>2</v>
      </c>
      <c r="B133" s="313" t="s">
        <v>272</v>
      </c>
      <c r="C133" s="314" t="s">
        <v>69</v>
      </c>
      <c r="D133" s="315" t="s">
        <v>334</v>
      </c>
      <c r="E133" s="314" t="s">
        <v>70</v>
      </c>
      <c r="F133" s="313" t="s">
        <v>71</v>
      </c>
      <c r="G133" s="314" t="s">
        <v>72</v>
      </c>
      <c r="H133" s="313" t="s">
        <v>73</v>
      </c>
      <c r="I133" s="12"/>
      <c r="K133" s="2"/>
      <c r="L133" s="3"/>
      <c r="M133" s="4"/>
      <c r="N133" s="5"/>
      <c r="P133" s="142"/>
      <c r="Q133" s="12"/>
      <c r="R133" s="12"/>
      <c r="S133" s="384"/>
      <c r="T133" s="377"/>
    </row>
    <row r="134" spans="1:20" ht="15.75" customHeight="1" hidden="1">
      <c r="A134" s="12">
        <v>3</v>
      </c>
      <c r="B134" s="313" t="s">
        <v>74</v>
      </c>
      <c r="C134" s="314" t="s">
        <v>75</v>
      </c>
      <c r="D134" s="315" t="s">
        <v>76</v>
      </c>
      <c r="E134" s="314" t="s">
        <v>77</v>
      </c>
      <c r="F134" s="313" t="s">
        <v>78</v>
      </c>
      <c r="G134" s="314" t="s">
        <v>79</v>
      </c>
      <c r="H134" s="313" t="s">
        <v>80</v>
      </c>
      <c r="I134" s="12"/>
      <c r="K134" s="2"/>
      <c r="L134" s="3"/>
      <c r="M134" s="4"/>
      <c r="N134" s="5"/>
      <c r="P134" s="142"/>
      <c r="Q134" s="12"/>
      <c r="R134" s="12"/>
      <c r="S134" s="384"/>
      <c r="T134" s="377"/>
    </row>
    <row r="135" spans="1:20" ht="15.75" customHeight="1" hidden="1">
      <c r="A135" s="12">
        <v>4</v>
      </c>
      <c r="B135" s="313" t="s">
        <v>85</v>
      </c>
      <c r="C135" s="314" t="s">
        <v>86</v>
      </c>
      <c r="D135" s="315" t="s">
        <v>81</v>
      </c>
      <c r="E135" s="314" t="s">
        <v>82</v>
      </c>
      <c r="F135" s="313" t="s">
        <v>336</v>
      </c>
      <c r="G135" s="314" t="s">
        <v>83</v>
      </c>
      <c r="H135" s="313" t="s">
        <v>84</v>
      </c>
      <c r="I135" s="12"/>
      <c r="K135" s="2"/>
      <c r="L135" s="3"/>
      <c r="M135" s="4"/>
      <c r="N135" s="5"/>
      <c r="P135" s="142"/>
      <c r="Q135" s="12"/>
      <c r="R135" s="12"/>
      <c r="S135" s="384"/>
      <c r="T135" s="377"/>
    </row>
    <row r="136" spans="1:20" ht="15.75" customHeight="1" hidden="1">
      <c r="A136" s="12">
        <v>5</v>
      </c>
      <c r="B136" s="313" t="s">
        <v>92</v>
      </c>
      <c r="C136" s="314" t="s">
        <v>93</v>
      </c>
      <c r="D136" s="315" t="s">
        <v>87</v>
      </c>
      <c r="E136" s="314" t="s">
        <v>88</v>
      </c>
      <c r="F136" s="313" t="s">
        <v>89</v>
      </c>
      <c r="G136" s="314" t="s">
        <v>90</v>
      </c>
      <c r="H136" s="313" t="s">
        <v>91</v>
      </c>
      <c r="I136" s="12"/>
      <c r="K136" s="2"/>
      <c r="L136" s="3"/>
      <c r="M136" s="4"/>
      <c r="N136" s="5"/>
      <c r="P136" s="142"/>
      <c r="Q136" s="12"/>
      <c r="R136" s="12"/>
      <c r="S136" s="384"/>
      <c r="T136" s="377"/>
    </row>
    <row r="137" spans="1:20" ht="15.75" customHeight="1" hidden="1">
      <c r="A137" s="12">
        <v>6</v>
      </c>
      <c r="B137" s="313" t="s">
        <v>99</v>
      </c>
      <c r="C137" s="314" t="s">
        <v>333</v>
      </c>
      <c r="D137" s="315" t="s">
        <v>94</v>
      </c>
      <c r="E137" s="314" t="s">
        <v>95</v>
      </c>
      <c r="F137" s="313" t="s">
        <v>96</v>
      </c>
      <c r="G137" s="314" t="s">
        <v>97</v>
      </c>
      <c r="H137" s="313" t="s">
        <v>98</v>
      </c>
      <c r="I137" s="12"/>
      <c r="K137" s="2"/>
      <c r="L137" s="3"/>
      <c r="M137" s="4"/>
      <c r="N137" s="5"/>
      <c r="P137" s="142"/>
      <c r="Q137" s="12"/>
      <c r="R137" s="12"/>
      <c r="S137" s="384"/>
      <c r="T137" s="377"/>
    </row>
    <row r="138" spans="1:20" ht="15.75" customHeight="1" hidden="1">
      <c r="A138" s="12">
        <v>7</v>
      </c>
      <c r="B138" s="313" t="s">
        <v>103</v>
      </c>
      <c r="C138" s="314" t="s">
        <v>104</v>
      </c>
      <c r="D138" s="315" t="s">
        <v>100</v>
      </c>
      <c r="E138" s="314" t="s">
        <v>101</v>
      </c>
      <c r="F138" s="313" t="s">
        <v>337</v>
      </c>
      <c r="G138" s="314" t="s">
        <v>108</v>
      </c>
      <c r="H138" s="313" t="s">
        <v>102</v>
      </c>
      <c r="I138" s="12"/>
      <c r="K138" s="2"/>
      <c r="L138" s="3"/>
      <c r="M138" s="4"/>
      <c r="N138" s="5"/>
      <c r="P138" s="142"/>
      <c r="Q138" s="12"/>
      <c r="R138" s="12"/>
      <c r="S138" s="384"/>
      <c r="T138" s="377"/>
    </row>
    <row r="139" spans="1:20" ht="15.75" customHeight="1" hidden="1">
      <c r="A139" s="12">
        <v>8</v>
      </c>
      <c r="B139" s="313" t="s">
        <v>110</v>
      </c>
      <c r="C139" s="314" t="s">
        <v>111</v>
      </c>
      <c r="D139" s="315" t="s">
        <v>105</v>
      </c>
      <c r="E139" s="314" t="s">
        <v>106</v>
      </c>
      <c r="F139" s="313" t="s">
        <v>107</v>
      </c>
      <c r="G139" s="315" t="s">
        <v>5</v>
      </c>
      <c r="H139" s="313" t="s">
        <v>109</v>
      </c>
      <c r="I139" s="12"/>
      <c r="K139" s="2"/>
      <c r="L139" s="3"/>
      <c r="M139" s="4"/>
      <c r="N139" s="5"/>
      <c r="P139" s="142"/>
      <c r="Q139" s="12"/>
      <c r="R139" s="12"/>
      <c r="S139" s="384"/>
      <c r="T139" s="377"/>
    </row>
    <row r="140" spans="1:20" ht="15.75" customHeight="1" hidden="1">
      <c r="A140" s="12">
        <v>9</v>
      </c>
      <c r="B140" s="313" t="s">
        <v>5</v>
      </c>
      <c r="C140" s="314" t="s">
        <v>114</v>
      </c>
      <c r="D140" s="315" t="s">
        <v>115</v>
      </c>
      <c r="E140" s="314" t="s">
        <v>112</v>
      </c>
      <c r="F140" s="313" t="s">
        <v>113</v>
      </c>
      <c r="G140" s="314" t="s">
        <v>5</v>
      </c>
      <c r="H140" s="315" t="s">
        <v>5</v>
      </c>
      <c r="I140" s="12"/>
      <c r="K140" s="2"/>
      <c r="L140" s="3"/>
      <c r="M140" s="4"/>
      <c r="N140" s="5"/>
      <c r="P140" s="142"/>
      <c r="Q140" s="12"/>
      <c r="R140" s="12"/>
      <c r="S140" s="384"/>
      <c r="T140" s="377"/>
    </row>
    <row r="141" spans="1:20" ht="15.75" customHeight="1" hidden="1">
      <c r="A141" s="12">
        <v>10</v>
      </c>
      <c r="B141" s="313" t="s">
        <v>5</v>
      </c>
      <c r="C141" s="314" t="s">
        <v>116</v>
      </c>
      <c r="D141" s="315" t="s">
        <v>5</v>
      </c>
      <c r="E141" s="314" t="s">
        <v>335</v>
      </c>
      <c r="F141" s="315" t="s">
        <v>5</v>
      </c>
      <c r="G141" s="314" t="s">
        <v>5</v>
      </c>
      <c r="H141" s="313" t="s">
        <v>5</v>
      </c>
      <c r="I141" s="12"/>
      <c r="K141" s="2"/>
      <c r="L141" s="3"/>
      <c r="M141" s="4"/>
      <c r="N141" s="5"/>
      <c r="P141" s="142"/>
      <c r="Q141" s="12"/>
      <c r="R141" s="12"/>
      <c r="S141" s="384"/>
      <c r="T141" s="377"/>
    </row>
    <row r="142" spans="1:20" ht="15.75" customHeight="1" hidden="1">
      <c r="A142" s="12">
        <v>11</v>
      </c>
      <c r="B142" s="313" t="s">
        <v>5</v>
      </c>
      <c r="C142" s="314" t="s">
        <v>117</v>
      </c>
      <c r="D142" s="315" t="s">
        <v>5</v>
      </c>
      <c r="E142" s="315" t="s">
        <v>5</v>
      </c>
      <c r="F142" s="313" t="s">
        <v>5</v>
      </c>
      <c r="G142" s="314" t="s">
        <v>5</v>
      </c>
      <c r="H142" s="313" t="s">
        <v>5</v>
      </c>
      <c r="I142" s="12"/>
      <c r="K142" s="2"/>
      <c r="L142" s="3"/>
      <c r="M142" s="4"/>
      <c r="N142" s="5"/>
      <c r="P142" s="142"/>
      <c r="Q142" s="12"/>
      <c r="R142" s="12"/>
      <c r="S142" s="384"/>
      <c r="T142" s="377"/>
    </row>
    <row r="143" spans="1:20" ht="15.75" customHeight="1" hidden="1">
      <c r="A143" s="12">
        <v>12</v>
      </c>
      <c r="B143" s="313" t="s">
        <v>5</v>
      </c>
      <c r="C143" s="314" t="s">
        <v>118</v>
      </c>
      <c r="D143" s="315" t="s">
        <v>5</v>
      </c>
      <c r="E143" s="314" t="s">
        <v>5</v>
      </c>
      <c r="F143" s="313" t="s">
        <v>5</v>
      </c>
      <c r="G143" s="314" t="s">
        <v>5</v>
      </c>
      <c r="H143" s="313" t="s">
        <v>5</v>
      </c>
      <c r="I143" s="12"/>
      <c r="K143" s="2"/>
      <c r="L143" s="3"/>
      <c r="M143" s="4"/>
      <c r="N143" s="5"/>
      <c r="P143" s="142"/>
      <c r="Q143" s="12"/>
      <c r="R143" s="12"/>
      <c r="S143" s="384"/>
      <c r="T143" s="377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84"/>
      <c r="T144" s="377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84"/>
      <c r="T145" s="377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84"/>
      <c r="T146" s="377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84"/>
      <c r="T147" s="377"/>
    </row>
    <row r="148" spans="1:256" ht="19.5" customHeight="1">
      <c r="A148" s="686" t="s">
        <v>119</v>
      </c>
      <c r="B148" s="687"/>
      <c r="C148" s="687"/>
      <c r="D148" s="687"/>
      <c r="E148" s="687"/>
      <c r="F148" s="687"/>
      <c r="G148" s="687"/>
      <c r="H148" s="687"/>
      <c r="I148" s="687"/>
      <c r="J148" s="688"/>
      <c r="K148" s="144"/>
      <c r="L148" s="145"/>
      <c r="M148" s="146"/>
      <c r="N148" s="147"/>
      <c r="O148" s="148"/>
      <c r="P148" s="148"/>
      <c r="Q148" s="148"/>
      <c r="R148" s="149"/>
      <c r="S148" s="384"/>
      <c r="T148" s="377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84"/>
      <c r="T149" s="377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84"/>
      <c r="T150" s="377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686" t="s">
        <v>165</v>
      </c>
      <c r="B151" s="687"/>
      <c r="C151" s="687"/>
      <c r="D151" s="687"/>
      <c r="E151" s="687"/>
      <c r="F151" s="687"/>
      <c r="G151" s="687"/>
      <c r="H151" s="687"/>
      <c r="I151" s="687"/>
      <c r="J151" s="688"/>
      <c r="K151" s="144"/>
      <c r="L151" s="145"/>
      <c r="M151" s="152"/>
      <c r="N151" s="152"/>
      <c r="O151" s="152"/>
      <c r="P151" s="153"/>
      <c r="Q151" s="153"/>
      <c r="R151" s="149"/>
      <c r="S151" s="384"/>
      <c r="T151" s="377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62"/>
      <c r="B152" s="262"/>
      <c r="C152" s="262"/>
      <c r="D152" s="262"/>
      <c r="E152" s="262"/>
      <c r="F152" s="262"/>
      <c r="G152" s="262"/>
      <c r="H152" s="262"/>
      <c r="I152" s="262"/>
      <c r="K152" s="5"/>
      <c r="L152" s="5"/>
      <c r="M152" s="5"/>
      <c r="N152" s="5"/>
    </row>
    <row r="153" spans="1:20" ht="23.25" customHeight="1">
      <c r="A153" s="751" t="s">
        <v>177</v>
      </c>
      <c r="B153" s="751"/>
      <c r="C153" s="751"/>
      <c r="D153" s="751"/>
      <c r="E153" s="751"/>
      <c r="F153" s="751"/>
      <c r="G153" s="751"/>
      <c r="H153" s="751"/>
      <c r="I153" s="751"/>
      <c r="J153" s="751"/>
      <c r="K153" s="18"/>
      <c r="L153" s="18"/>
      <c r="M153" s="18"/>
      <c r="N153" s="18"/>
      <c r="S153" s="384"/>
      <c r="T153" s="530"/>
    </row>
    <row r="154" spans="1:20" ht="16.5" customHeight="1">
      <c r="A154" s="751" t="s">
        <v>166</v>
      </c>
      <c r="B154" s="751"/>
      <c r="C154" s="751"/>
      <c r="D154" s="751"/>
      <c r="E154" s="751"/>
      <c r="F154" s="751"/>
      <c r="G154" s="751"/>
      <c r="H154" s="751"/>
      <c r="I154" s="751"/>
      <c r="J154" s="751"/>
      <c r="K154" s="18"/>
      <c r="L154" s="765" t="s">
        <v>492</v>
      </c>
      <c r="M154" s="765"/>
      <c r="S154" s="384"/>
      <c r="T154" s="530"/>
    </row>
    <row r="155" spans="1:256" ht="18.75" customHeight="1">
      <c r="A155" s="670" t="s">
        <v>510</v>
      </c>
      <c r="B155" s="670"/>
      <c r="C155" s="670"/>
      <c r="D155" s="670"/>
      <c r="E155" s="670"/>
      <c r="F155" s="670"/>
      <c r="G155" s="670"/>
      <c r="H155" s="670"/>
      <c r="I155" s="670"/>
      <c r="J155" s="670"/>
      <c r="K155" s="18"/>
      <c r="L155" s="150"/>
      <c r="M155" s="150"/>
      <c r="N155" s="154" t="s">
        <v>167</v>
      </c>
      <c r="O155" s="150"/>
      <c r="P155" s="150"/>
      <c r="Q155" s="150"/>
      <c r="R155" s="150"/>
      <c r="S155" s="384"/>
      <c r="T155" s="53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701" t="s">
        <v>657</v>
      </c>
      <c r="B156" s="701"/>
      <c r="C156" s="701"/>
      <c r="D156" s="701"/>
      <c r="E156" s="701"/>
      <c r="F156" s="701"/>
      <c r="G156" s="701"/>
      <c r="H156" s="701"/>
      <c r="I156" s="701"/>
      <c r="J156" s="701"/>
      <c r="K156" s="684" t="s">
        <v>168</v>
      </c>
      <c r="L156" s="155" t="s">
        <v>169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457</v>
      </c>
      <c r="O156" s="150"/>
      <c r="P156" s="150"/>
      <c r="Q156" s="150"/>
      <c r="R156" s="150"/>
      <c r="S156" s="384"/>
      <c r="T156" s="53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701"/>
      <c r="B157" s="701"/>
      <c r="C157" s="701"/>
      <c r="D157" s="701"/>
      <c r="E157" s="701"/>
      <c r="F157" s="701"/>
      <c r="G157" s="701"/>
      <c r="H157" s="701"/>
      <c r="I157" s="701"/>
      <c r="J157" s="701"/>
      <c r="K157" s="684"/>
      <c r="L157" s="158" t="s">
        <v>170</v>
      </c>
      <c r="M157" s="159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7" s="160" t="s">
        <v>171</v>
      </c>
      <c r="O157" s="150"/>
      <c r="P157" s="150"/>
      <c r="Q157" s="150"/>
      <c r="R157" s="150"/>
      <c r="S157" s="384"/>
      <c r="T157" s="53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 hidden="1">
      <c r="A158" s="426"/>
      <c r="B158" s="426"/>
      <c r="C158" s="426"/>
      <c r="D158" s="426"/>
      <c r="E158" s="426"/>
      <c r="F158" s="426"/>
      <c r="G158" s="426"/>
      <c r="H158" s="426"/>
      <c r="I158" s="426"/>
      <c r="J158" s="426"/>
      <c r="K158" s="161"/>
      <c r="L158" s="150"/>
      <c r="M158" s="162"/>
      <c r="N158" s="163"/>
      <c r="O158" s="150"/>
      <c r="P158" s="150"/>
      <c r="Q158" s="150"/>
      <c r="R158" s="150"/>
      <c r="S158" s="384"/>
      <c r="T158" s="53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 hidden="1">
      <c r="A159" s="685" t="str">
        <f>O172</f>
        <v>2) если у педагога нет  высшего или  среднего профессионального образования  </v>
      </c>
      <c r="B159" s="685"/>
      <c r="C159" s="685"/>
      <c r="D159" s="685"/>
      <c r="E159" s="685"/>
      <c r="F159" s="685"/>
      <c r="G159" s="685"/>
      <c r="H159" s="685"/>
      <c r="I159" s="685"/>
      <c r="J159" s="685"/>
      <c r="K159" s="164"/>
      <c r="L159" s="672"/>
      <c r="M159" s="672"/>
      <c r="N159" s="672"/>
      <c r="O159" s="150"/>
      <c r="P159" s="150"/>
      <c r="Q159" s="150"/>
      <c r="R159" s="150"/>
      <c r="S159" s="384"/>
      <c r="T159" s="53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 hidden="1">
      <c r="A160" s="685"/>
      <c r="B160" s="685"/>
      <c r="C160" s="685"/>
      <c r="D160" s="685"/>
      <c r="E160" s="685"/>
      <c r="F160" s="685"/>
      <c r="G160" s="685"/>
      <c r="H160" s="685"/>
      <c r="I160" s="685"/>
      <c r="J160" s="685"/>
      <c r="K160" s="164"/>
      <c r="L160" s="672"/>
      <c r="M160" s="672"/>
      <c r="N160" s="672"/>
      <c r="O160" s="150"/>
      <c r="P160" s="150"/>
      <c r="Q160" s="150"/>
      <c r="R160" s="150"/>
      <c r="S160" s="384"/>
      <c r="T160" s="53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685"/>
      <c r="B161" s="685"/>
      <c r="C161" s="685"/>
      <c r="D161" s="685"/>
      <c r="E161" s="685"/>
      <c r="F161" s="685"/>
      <c r="G161" s="685"/>
      <c r="H161" s="685"/>
      <c r="I161" s="685"/>
      <c r="J161" s="685"/>
      <c r="K161" s="164"/>
      <c r="L161" s="672"/>
      <c r="M161" s="672"/>
      <c r="N161" s="672"/>
      <c r="O161" s="150"/>
      <c r="P161" s="150"/>
      <c r="Q161" s="150"/>
      <c r="R161" s="150"/>
      <c r="S161" s="384"/>
      <c r="T161" s="53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685"/>
      <c r="B162" s="685"/>
      <c r="C162" s="685"/>
      <c r="D162" s="685"/>
      <c r="E162" s="685"/>
      <c r="F162" s="685"/>
      <c r="G162" s="685"/>
      <c r="H162" s="685"/>
      <c r="I162" s="685"/>
      <c r="J162" s="685"/>
      <c r="K162" s="164"/>
      <c r="L162" s="150"/>
      <c r="M162" s="150"/>
      <c r="N162" s="163"/>
      <c r="O162" s="150"/>
      <c r="P162" s="150"/>
      <c r="Q162" s="150"/>
      <c r="R162" s="150"/>
      <c r="S162" s="384"/>
      <c r="T162" s="53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671" t="str">
        <f>N172</f>
        <v>Получить  дополнительное профессиональное образование по направлению подготовки "Образование и педагогика". </v>
      </c>
      <c r="B163" s="671"/>
      <c r="C163" s="671"/>
      <c r="D163" s="671"/>
      <c r="E163" s="671"/>
      <c r="F163" s="671"/>
      <c r="G163" s="671"/>
      <c r="H163" s="671"/>
      <c r="I163" s="671"/>
      <c r="J163" s="671"/>
      <c r="K163" s="677" t="s">
        <v>173</v>
      </c>
      <c r="L163" s="165" t="s">
        <v>174</v>
      </c>
      <c r="M163" s="2" t="s">
        <v>171</v>
      </c>
      <c r="S163" s="384"/>
      <c r="T163" s="530"/>
    </row>
    <row r="164" spans="1:20" ht="6.75" customHeight="1" hidden="1">
      <c r="A164" s="670" t="str">
        <f>Q172</f>
        <v> ---</v>
      </c>
      <c r="B164" s="670" t="s">
        <v>175</v>
      </c>
      <c r="C164" s="670"/>
      <c r="D164" s="670"/>
      <c r="E164" s="670"/>
      <c r="F164" s="670"/>
      <c r="G164" s="670"/>
      <c r="H164" s="670"/>
      <c r="I164" s="670"/>
      <c r="J164" s="670"/>
      <c r="K164" s="677"/>
      <c r="L164" s="635"/>
      <c r="M164" s="10"/>
      <c r="N164" s="11"/>
      <c r="O164" s="12"/>
      <c r="P164" s="12"/>
      <c r="Q164" s="12"/>
      <c r="R164" s="12"/>
      <c r="S164" s="636"/>
      <c r="T164" s="530"/>
    </row>
    <row r="165" spans="1:256" ht="3" customHeight="1">
      <c r="A165" s="671">
        <f>IF(A164=" ---","",P172)</f>
      </c>
      <c r="B165" s="671"/>
      <c r="C165" s="671"/>
      <c r="D165" s="671"/>
      <c r="E165" s="671"/>
      <c r="F165" s="671"/>
      <c r="G165" s="671"/>
      <c r="H165" s="671"/>
      <c r="I165" s="671"/>
      <c r="J165" s="671"/>
      <c r="K165" s="102" t="s">
        <v>176</v>
      </c>
      <c r="L165" s="635"/>
      <c r="M165" s="10"/>
      <c r="N165" s="11"/>
      <c r="O165" s="12"/>
      <c r="P165" s="12"/>
      <c r="Q165" s="12"/>
      <c r="R165" s="12"/>
      <c r="S165" s="636"/>
      <c r="T165" s="530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35"/>
      <c r="M166" s="10"/>
      <c r="N166" s="11"/>
      <c r="O166" s="12"/>
      <c r="P166" s="12"/>
      <c r="Q166" s="12"/>
      <c r="R166" s="12"/>
      <c r="S166" s="636"/>
      <c r="T166" s="530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35"/>
      <c r="M167" s="10"/>
      <c r="N167" s="11"/>
      <c r="O167" s="12"/>
      <c r="P167" s="12"/>
      <c r="Q167" s="12"/>
      <c r="R167" s="12"/>
      <c r="S167" s="636"/>
      <c r="T167" s="530"/>
    </row>
    <row r="168" spans="1:20" ht="16.5" customHeight="1">
      <c r="A168" s="751" t="s">
        <v>509</v>
      </c>
      <c r="B168" s="751"/>
      <c r="C168" s="751"/>
      <c r="D168" s="751"/>
      <c r="E168" s="751"/>
      <c r="F168" s="751"/>
      <c r="G168" s="751"/>
      <c r="H168" s="751"/>
      <c r="I168" s="751"/>
      <c r="J168" s="751"/>
      <c r="K168" s="634" t="s">
        <v>507</v>
      </c>
      <c r="L168" s="635"/>
      <c r="M168" s="10"/>
      <c r="N168" s="11"/>
      <c r="O168" s="12"/>
      <c r="P168" s="12"/>
      <c r="Q168" s="12"/>
      <c r="R168" s="12"/>
      <c r="S168" s="636"/>
      <c r="T168" s="530"/>
    </row>
    <row r="169" spans="1:256" ht="12.75">
      <c r="A169" s="681" t="s">
        <v>508</v>
      </c>
      <c r="B169" s="681"/>
      <c r="C169" s="681"/>
      <c r="D169" s="681"/>
      <c r="E169" s="681"/>
      <c r="F169" s="681"/>
      <c r="G169" s="681"/>
      <c r="H169" s="681"/>
      <c r="I169" s="681"/>
      <c r="J169" s="681"/>
      <c r="K169" s="443" t="str">
        <f>T2</f>
        <v># 25</v>
      </c>
      <c r="L169" s="12"/>
      <c r="M169" s="12"/>
      <c r="N169" s="12"/>
      <c r="O169" s="12"/>
      <c r="P169" s="12"/>
      <c r="Q169" s="12"/>
      <c r="R169" s="12"/>
      <c r="S169" s="384"/>
      <c r="T169" s="530"/>
      <c r="U169" s="384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43"/>
      <c r="B170" s="221"/>
      <c r="C170" s="220"/>
      <c r="D170" s="220"/>
      <c r="E170" s="220"/>
      <c r="F170" s="220"/>
      <c r="G170" s="220"/>
      <c r="H170" s="220"/>
      <c r="I170" s="220"/>
      <c r="J170" s="220"/>
      <c r="K170" s="447">
        <v>1</v>
      </c>
      <c r="L170" s="444">
        <v>2</v>
      </c>
      <c r="M170" s="444">
        <v>3</v>
      </c>
      <c r="N170" s="444">
        <v>4</v>
      </c>
      <c r="O170" s="444">
        <v>5</v>
      </c>
      <c r="P170" s="444">
        <v>6</v>
      </c>
      <c r="Q170" s="444">
        <v>7</v>
      </c>
      <c r="R170" s="444">
        <v>8</v>
      </c>
      <c r="S170" s="444">
        <v>9</v>
      </c>
      <c r="T170" s="530"/>
    </row>
    <row r="171" spans="1:20" ht="23.25" thickBot="1">
      <c r="A171" s="645" t="s">
        <v>12</v>
      </c>
      <c r="B171" s="750" t="s">
        <v>178</v>
      </c>
      <c r="C171" s="750"/>
      <c r="D171" s="750"/>
      <c r="E171" s="750"/>
      <c r="F171" s="750"/>
      <c r="G171" s="750"/>
      <c r="H171" s="750"/>
      <c r="I171" s="750"/>
      <c r="J171" s="750"/>
      <c r="K171" s="640" t="s">
        <v>652</v>
      </c>
      <c r="L171" s="445" t="s">
        <v>493</v>
      </c>
      <c r="M171" s="445" t="s">
        <v>494</v>
      </c>
      <c r="N171" s="446" t="s">
        <v>450</v>
      </c>
      <c r="O171" s="457" t="s">
        <v>517</v>
      </c>
      <c r="P171" s="446" t="s">
        <v>451</v>
      </c>
      <c r="Q171" s="191"/>
      <c r="R171" s="191"/>
      <c r="S171" s="445" t="s">
        <v>178</v>
      </c>
      <c r="T171" s="530"/>
    </row>
    <row r="172" spans="1:20" ht="48.75" customHeight="1" thickBot="1" thickTop="1">
      <c r="A172" s="644" t="str">
        <f>R172</f>
        <v>Старший вожатый</v>
      </c>
      <c r="B172" s="749" t="str">
        <f>S172</f>
        <v>Высшее профессиональное образование или среднее профессиональное образование без предъявления требований к стажу работы.</v>
      </c>
      <c r="C172" s="749"/>
      <c r="D172" s="749"/>
      <c r="E172" s="749"/>
      <c r="F172" s="749"/>
      <c r="G172" s="749"/>
      <c r="H172" s="749"/>
      <c r="I172" s="749"/>
      <c r="J172" s="749"/>
      <c r="K172" s="610" t="str">
        <f>IF(долж_ОС="учитель","учитель",долж_ОС)</f>
        <v>старший вожатый</v>
      </c>
      <c r="L172" s="612" t="str">
        <f>VLOOKUP($K$172,$K$175:$S$204,L170)</f>
        <v>Наличие/получение высшего или среднего профессионального образования</v>
      </c>
      <c r="M172" s="612" t="str">
        <f aca="true" t="shared" si="1" ref="M172:S172">VLOOKUP($K$172,$K$175:$S$204,M170)</f>
        <v> ---</v>
      </c>
      <c r="N172" s="613" t="str">
        <f t="shared" si="1"/>
        <v>Получить  дополнительное профессиональное образование по направлению подготовки "Образование и педагогика". </v>
      </c>
      <c r="O172" s="614" t="str">
        <f t="shared" si="1"/>
        <v>2) если у педагога нет  высшего или  среднего профессионального образования  </v>
      </c>
      <c r="P172" s="615" t="str">
        <f t="shared" si="1"/>
        <v> ---</v>
      </c>
      <c r="Q172" s="614" t="str">
        <f t="shared" si="1"/>
        <v> ---</v>
      </c>
      <c r="R172" s="611" t="str">
        <f t="shared" si="1"/>
        <v>Старший вожатый</v>
      </c>
      <c r="S172" s="611" t="str">
        <f t="shared" si="1"/>
        <v>Высшее профессиональное образование или среднее профессиональное образование без предъявления требований к стажу работы.</v>
      </c>
      <c r="T172" s="530"/>
    </row>
    <row r="173" spans="1:20" ht="13.5" thickTop="1">
      <c r="A173" s="669" t="s">
        <v>594</v>
      </c>
      <c r="B173" s="669"/>
      <c r="C173" s="669"/>
      <c r="D173" s="669"/>
      <c r="E173" s="669"/>
      <c r="F173" s="669"/>
      <c r="G173" s="669"/>
      <c r="H173" s="669"/>
      <c r="I173" s="669"/>
      <c r="J173" s="669"/>
      <c r="K173" s="458"/>
      <c r="L173" s="434"/>
      <c r="M173" s="434"/>
      <c r="N173" s="435"/>
      <c r="O173" s="436"/>
      <c r="P173" s="436"/>
      <c r="Q173" s="438"/>
      <c r="R173" s="453"/>
      <c r="S173" s="437"/>
      <c r="T173" s="530"/>
    </row>
    <row r="174" spans="11:14" ht="12.75" hidden="1">
      <c r="K174" s="5"/>
      <c r="L174" s="5"/>
      <c r="M174" s="5"/>
      <c r="N174" s="5"/>
    </row>
    <row r="175" spans="1:20" ht="224.25" hidden="1">
      <c r="A175" s="439"/>
      <c r="B175" s="440"/>
      <c r="C175" s="440"/>
      <c r="D175" s="440"/>
      <c r="E175" s="440"/>
      <c r="F175" s="440"/>
      <c r="G175" s="440"/>
      <c r="H175" s="440"/>
      <c r="I175" s="440"/>
      <c r="J175" s="623"/>
      <c r="K175" s="459" t="s">
        <v>122</v>
      </c>
      <c r="L175" s="427" t="s">
        <v>43</v>
      </c>
      <c r="M175" s="427" t="s">
        <v>514</v>
      </c>
      <c r="N175" s="374" t="s">
        <v>172</v>
      </c>
      <c r="O175" s="428" t="s">
        <v>515</v>
      </c>
      <c r="P175" s="427" t="s">
        <v>514</v>
      </c>
      <c r="Q175" s="427" t="s">
        <v>514</v>
      </c>
      <c r="R175" s="456" t="s">
        <v>597</v>
      </c>
      <c r="S175" s="452" t="s">
        <v>516</v>
      </c>
      <c r="T175" s="384"/>
    </row>
    <row r="176" spans="1:20" ht="118.5" hidden="1">
      <c r="A176" s="439"/>
      <c r="B176" s="440"/>
      <c r="C176" s="440"/>
      <c r="D176" s="440"/>
      <c r="E176" s="440"/>
      <c r="F176" s="440"/>
      <c r="G176" s="440"/>
      <c r="H176" s="440"/>
      <c r="I176" s="440"/>
      <c r="J176" s="624" t="s">
        <v>580</v>
      </c>
      <c r="K176" s="627" t="s">
        <v>124</v>
      </c>
      <c r="L176" s="622" t="str">
        <f>L202</f>
        <v>Наличие/получение  высшего профессионального образования в области дефектологии</v>
      </c>
      <c r="M176" s="622" t="str">
        <f aca="true" t="shared" si="2" ref="M176:S176">M202</f>
        <v> ---</v>
      </c>
      <c r="N176" s="622" t="str">
        <f t="shared" si="2"/>
        <v>Получить  высшее профессиональное образование в области дефектологии</v>
      </c>
      <c r="O176" s="622" t="str">
        <f t="shared" si="2"/>
        <v> 2) если у педагога нет высшего образования в области дефектологии</v>
      </c>
      <c r="P176" s="622" t="str">
        <f t="shared" si="2"/>
        <v> ---</v>
      </c>
      <c r="Q176" s="622" t="str">
        <f t="shared" si="2"/>
        <v> ---</v>
      </c>
      <c r="R176" s="622" t="str">
        <f t="shared" si="2"/>
        <v>Учитель-дефектолог, учитель-логопед (логопед) *</v>
      </c>
      <c r="S176" s="622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84"/>
    </row>
    <row r="177" spans="1:20" ht="52.5" hidden="1">
      <c r="A177" s="439"/>
      <c r="B177" s="440"/>
      <c r="C177" s="440"/>
      <c r="D177" s="440"/>
      <c r="E177" s="440"/>
      <c r="F177" s="440"/>
      <c r="G177" s="440"/>
      <c r="H177" s="440"/>
      <c r="I177" s="440"/>
      <c r="J177" s="623"/>
      <c r="K177" s="459" t="s">
        <v>126</v>
      </c>
      <c r="L177" s="427" t="s">
        <v>588</v>
      </c>
      <c r="M177" s="427" t="s">
        <v>514</v>
      </c>
      <c r="N177" s="374" t="s">
        <v>585</v>
      </c>
      <c r="O177" s="428" t="s">
        <v>584</v>
      </c>
      <c r="P177" s="427" t="s">
        <v>514</v>
      </c>
      <c r="Q177" s="427" t="s">
        <v>514</v>
      </c>
      <c r="R177" s="456" t="s">
        <v>587</v>
      </c>
      <c r="S177" s="452" t="s">
        <v>586</v>
      </c>
      <c r="T177" s="384"/>
    </row>
    <row r="178" spans="1:20" ht="153" hidden="1">
      <c r="A178" s="439"/>
      <c r="B178" s="440"/>
      <c r="C178" s="440"/>
      <c r="D178" s="440"/>
      <c r="E178" s="440"/>
      <c r="F178" s="440"/>
      <c r="G178" s="440"/>
      <c r="H178" s="440"/>
      <c r="I178" s="440"/>
      <c r="J178" s="623"/>
      <c r="K178" s="459" t="s">
        <v>128</v>
      </c>
      <c r="L178" s="427" t="s">
        <v>572</v>
      </c>
      <c r="M178" s="427" t="s">
        <v>514</v>
      </c>
      <c r="N178" s="374" t="s">
        <v>573</v>
      </c>
      <c r="O178" s="428" t="s">
        <v>574</v>
      </c>
      <c r="P178" s="427" t="s">
        <v>514</v>
      </c>
      <c r="Q178" s="427" t="s">
        <v>514</v>
      </c>
      <c r="R178" s="456" t="s">
        <v>575</v>
      </c>
      <c r="S178" s="452" t="s">
        <v>576</v>
      </c>
      <c r="T178" s="384"/>
    </row>
    <row r="179" spans="1:20" ht="184.5" hidden="1">
      <c r="A179" s="439"/>
      <c r="B179" s="440"/>
      <c r="C179" s="440"/>
      <c r="D179" s="440"/>
      <c r="E179" s="440"/>
      <c r="F179" s="440"/>
      <c r="G179" s="440"/>
      <c r="H179" s="440"/>
      <c r="I179" s="440"/>
      <c r="J179" s="623"/>
      <c r="K179" s="459" t="s">
        <v>130</v>
      </c>
      <c r="L179" s="427" t="s">
        <v>593</v>
      </c>
      <c r="M179" s="427" t="s">
        <v>514</v>
      </c>
      <c r="N179" s="374" t="s">
        <v>590</v>
      </c>
      <c r="O179" s="428" t="s">
        <v>589</v>
      </c>
      <c r="P179" s="427" t="s">
        <v>514</v>
      </c>
      <c r="Q179" s="427" t="s">
        <v>514</v>
      </c>
      <c r="R179" s="456" t="s">
        <v>592</v>
      </c>
      <c r="S179" s="452" t="s">
        <v>591</v>
      </c>
      <c r="T179" s="384"/>
    </row>
    <row r="180" spans="1:20" ht="92.25" hidden="1">
      <c r="A180" s="439"/>
      <c r="B180" s="440"/>
      <c r="C180" s="440"/>
      <c r="D180" s="440"/>
      <c r="E180" s="440"/>
      <c r="F180" s="440"/>
      <c r="G180" s="440"/>
      <c r="H180" s="440"/>
      <c r="I180" s="440"/>
      <c r="J180" s="623"/>
      <c r="K180" s="459" t="s">
        <v>132</v>
      </c>
      <c r="L180" s="427" t="s">
        <v>629</v>
      </c>
      <c r="M180" s="427" t="s">
        <v>514</v>
      </c>
      <c r="N180" s="374" t="s">
        <v>631</v>
      </c>
      <c r="O180" s="428" t="s">
        <v>630</v>
      </c>
      <c r="P180" s="427" t="s">
        <v>514</v>
      </c>
      <c r="Q180" s="427" t="s">
        <v>514</v>
      </c>
      <c r="R180" s="456" t="s">
        <v>606</v>
      </c>
      <c r="S180" s="452" t="s">
        <v>632</v>
      </c>
      <c r="T180" s="384"/>
    </row>
    <row r="181" spans="1:20" ht="118.5" hidden="1">
      <c r="A181" s="439"/>
      <c r="B181" s="440"/>
      <c r="C181" s="440"/>
      <c r="D181" s="440"/>
      <c r="E181" s="440"/>
      <c r="F181" s="440"/>
      <c r="G181" s="440"/>
      <c r="H181" s="440"/>
      <c r="I181" s="440"/>
      <c r="J181" s="624" t="s">
        <v>580</v>
      </c>
      <c r="K181" s="626" t="s">
        <v>134</v>
      </c>
      <c r="L181" s="622" t="str">
        <f>L202</f>
        <v>Наличие/получение  высшего профессионального образования в области дефектологии</v>
      </c>
      <c r="M181" s="622" t="str">
        <f aca="true" t="shared" si="3" ref="M181:S181">M202</f>
        <v> ---</v>
      </c>
      <c r="N181" s="622" t="str">
        <f t="shared" si="3"/>
        <v>Получить  высшее профессиональное образование в области дефектологии</v>
      </c>
      <c r="O181" s="622" t="str">
        <f t="shared" si="3"/>
        <v> 2) если у педагога нет высшего образования в области дефектологии</v>
      </c>
      <c r="P181" s="622" t="str">
        <f t="shared" si="3"/>
        <v> ---</v>
      </c>
      <c r="Q181" s="622" t="str">
        <f t="shared" si="3"/>
        <v> ---</v>
      </c>
      <c r="R181" s="622" t="str">
        <f t="shared" si="3"/>
        <v>Учитель-дефектолог, учитель-логопед (логопед) *</v>
      </c>
      <c r="S181" s="622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84"/>
    </row>
    <row r="182" spans="1:20" ht="153" hidden="1">
      <c r="A182" s="441"/>
      <c r="B182" s="441"/>
      <c r="C182" s="441"/>
      <c r="D182" s="441"/>
      <c r="E182" s="441"/>
      <c r="F182" s="441"/>
      <c r="G182" s="441"/>
      <c r="H182" s="441"/>
      <c r="I182" s="440"/>
      <c r="J182" s="623"/>
      <c r="K182" s="459" t="s">
        <v>136</v>
      </c>
      <c r="L182" s="427" t="s">
        <v>495</v>
      </c>
      <c r="M182" s="427" t="s">
        <v>496</v>
      </c>
      <c r="N182" s="374" t="s">
        <v>172</v>
      </c>
      <c r="O182" s="428" t="s">
        <v>497</v>
      </c>
      <c r="P182" s="374" t="s">
        <v>498</v>
      </c>
      <c r="Q182" s="427" t="s">
        <v>514</v>
      </c>
      <c r="R182" s="456" t="s">
        <v>614</v>
      </c>
      <c r="S182" s="452" t="s">
        <v>500</v>
      </c>
      <c r="T182" s="384"/>
    </row>
    <row r="183" spans="1:20" ht="92.25" hidden="1">
      <c r="A183" s="439"/>
      <c r="B183" s="440"/>
      <c r="C183" s="440"/>
      <c r="D183" s="440"/>
      <c r="E183" s="440"/>
      <c r="F183" s="440"/>
      <c r="G183" s="440"/>
      <c r="H183" s="440"/>
      <c r="I183" s="440"/>
      <c r="J183" s="629" t="s">
        <v>621</v>
      </c>
      <c r="K183" s="459" t="s">
        <v>137</v>
      </c>
      <c r="L183" s="427" t="s">
        <v>619</v>
      </c>
      <c r="M183" s="427" t="s">
        <v>514</v>
      </c>
      <c r="N183" s="374" t="s">
        <v>618</v>
      </c>
      <c r="O183" s="428" t="s">
        <v>617</v>
      </c>
      <c r="P183" s="427" t="s">
        <v>514</v>
      </c>
      <c r="Q183" s="427" t="s">
        <v>514</v>
      </c>
      <c r="R183" s="456" t="s">
        <v>608</v>
      </c>
      <c r="S183" s="452" t="s">
        <v>609</v>
      </c>
      <c r="T183" s="384"/>
    </row>
    <row r="184" spans="1:20" ht="118.5" hidden="1">
      <c r="A184" s="439"/>
      <c r="B184" s="440"/>
      <c r="C184" s="440"/>
      <c r="D184" s="440"/>
      <c r="E184" s="440"/>
      <c r="F184" s="440"/>
      <c r="G184" s="440"/>
      <c r="H184" s="440"/>
      <c r="I184" s="440"/>
      <c r="J184" s="623"/>
      <c r="K184" s="459" t="s">
        <v>139</v>
      </c>
      <c r="L184" s="427" t="s">
        <v>43</v>
      </c>
      <c r="M184" s="427" t="s">
        <v>549</v>
      </c>
      <c r="N184" s="374" t="s">
        <v>658</v>
      </c>
      <c r="O184" s="428" t="s">
        <v>550</v>
      </c>
      <c r="P184" s="374" t="s">
        <v>551</v>
      </c>
      <c r="Q184" s="428" t="s">
        <v>552</v>
      </c>
      <c r="R184" s="456" t="s">
        <v>553</v>
      </c>
      <c r="S184" s="452" t="s">
        <v>554</v>
      </c>
      <c r="T184" s="384"/>
    </row>
    <row r="185" spans="1:20" ht="210.75" hidden="1">
      <c r="A185" s="439"/>
      <c r="B185" s="440"/>
      <c r="C185" s="440"/>
      <c r="D185" s="440"/>
      <c r="E185" s="440"/>
      <c r="F185" s="440"/>
      <c r="G185" s="440"/>
      <c r="H185" s="440"/>
      <c r="I185" s="440"/>
      <c r="J185" s="623"/>
      <c r="K185" s="459" t="s">
        <v>142</v>
      </c>
      <c r="L185" s="427" t="s">
        <v>625</v>
      </c>
      <c r="M185" s="427" t="s">
        <v>626</v>
      </c>
      <c r="N185" s="374" t="s">
        <v>628</v>
      </c>
      <c r="O185" s="428" t="s">
        <v>627</v>
      </c>
      <c r="P185" s="427" t="s">
        <v>514</v>
      </c>
      <c r="Q185" s="427" t="s">
        <v>514</v>
      </c>
      <c r="R185" s="456" t="s">
        <v>604</v>
      </c>
      <c r="S185" s="452" t="s">
        <v>605</v>
      </c>
      <c r="T185" s="384"/>
    </row>
    <row r="186" spans="1:20" ht="132" hidden="1">
      <c r="A186" s="439"/>
      <c r="B186" s="440"/>
      <c r="C186" s="440"/>
      <c r="D186" s="440"/>
      <c r="E186" s="440"/>
      <c r="F186" s="440"/>
      <c r="G186" s="440"/>
      <c r="H186" s="440"/>
      <c r="I186" s="440"/>
      <c r="J186" s="623"/>
      <c r="K186" s="459" t="s">
        <v>327</v>
      </c>
      <c r="L186" s="427" t="s">
        <v>641</v>
      </c>
      <c r="M186" s="427" t="s">
        <v>514</v>
      </c>
      <c r="N186" s="374" t="s">
        <v>642</v>
      </c>
      <c r="O186" s="428" t="s">
        <v>640</v>
      </c>
      <c r="P186" s="427" t="s">
        <v>514</v>
      </c>
      <c r="Q186" s="427" t="s">
        <v>514</v>
      </c>
      <c r="R186" s="456" t="s">
        <v>601</v>
      </c>
      <c r="S186" s="452" t="s">
        <v>602</v>
      </c>
      <c r="T186" s="384"/>
    </row>
    <row r="187" spans="1:256" ht="142.5" hidden="1">
      <c r="A187" s="439"/>
      <c r="B187" s="440"/>
      <c r="C187" s="440"/>
      <c r="D187" s="440"/>
      <c r="E187" s="440"/>
      <c r="F187" s="440"/>
      <c r="G187" s="440"/>
      <c r="H187" s="440"/>
      <c r="I187" s="440"/>
      <c r="J187" s="623"/>
      <c r="K187" s="459" t="s">
        <v>144</v>
      </c>
      <c r="L187" s="427" t="s">
        <v>43</v>
      </c>
      <c r="M187" s="427" t="s">
        <v>566</v>
      </c>
      <c r="N187" s="374" t="s">
        <v>172</v>
      </c>
      <c r="O187" s="428" t="s">
        <v>562</v>
      </c>
      <c r="P187" s="427" t="s">
        <v>514</v>
      </c>
      <c r="Q187" s="427" t="s">
        <v>514</v>
      </c>
      <c r="R187" s="456" t="s">
        <v>564</v>
      </c>
      <c r="S187" s="452" t="s">
        <v>565</v>
      </c>
      <c r="T187" s="384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44.75" hidden="1">
      <c r="A188" s="439"/>
      <c r="B188" s="440"/>
      <c r="C188" s="440"/>
      <c r="D188" s="440"/>
      <c r="E188" s="440"/>
      <c r="F188" s="440"/>
      <c r="G188" s="440"/>
      <c r="H188" s="442"/>
      <c r="I188" s="442"/>
      <c r="J188" s="623"/>
      <c r="K188" s="459" t="s">
        <v>146</v>
      </c>
      <c r="L188" s="427" t="s">
        <v>571</v>
      </c>
      <c r="M188" s="427" t="s">
        <v>514</v>
      </c>
      <c r="N188" s="374" t="s">
        <v>568</v>
      </c>
      <c r="O188" s="428" t="s">
        <v>567</v>
      </c>
      <c r="P188" s="374"/>
      <c r="Q188" s="428"/>
      <c r="R188" s="456" t="s">
        <v>569</v>
      </c>
      <c r="S188" s="452" t="s">
        <v>570</v>
      </c>
      <c r="T188" s="384"/>
    </row>
    <row r="189" spans="1:20" ht="158.25" hidden="1">
      <c r="A189" s="439"/>
      <c r="B189" s="440"/>
      <c r="C189" s="440"/>
      <c r="D189" s="440"/>
      <c r="E189" s="440"/>
      <c r="F189" s="440"/>
      <c r="G189" s="440"/>
      <c r="H189" s="442"/>
      <c r="I189" s="442"/>
      <c r="J189" s="624" t="s">
        <v>581</v>
      </c>
      <c r="K189" s="459" t="s">
        <v>148</v>
      </c>
      <c r="L189" s="427" t="s">
        <v>43</v>
      </c>
      <c r="M189" s="427" t="s">
        <v>45</v>
      </c>
      <c r="N189" s="374" t="s">
        <v>172</v>
      </c>
      <c r="O189" s="428" t="s">
        <v>563</v>
      </c>
      <c r="P189" s="427" t="s">
        <v>514</v>
      </c>
      <c r="Q189" s="427" t="s">
        <v>514</v>
      </c>
      <c r="R189" s="456" t="s">
        <v>615</v>
      </c>
      <c r="S189" s="452" t="s">
        <v>499</v>
      </c>
      <c r="T189" s="384"/>
    </row>
    <row r="190" spans="1:20" ht="171" hidden="1">
      <c r="A190" s="439"/>
      <c r="B190" s="440"/>
      <c r="C190" s="440"/>
      <c r="D190" s="440"/>
      <c r="E190" s="440"/>
      <c r="F190" s="440"/>
      <c r="G190" s="440"/>
      <c r="H190" s="442"/>
      <c r="I190" s="442"/>
      <c r="J190" s="623"/>
      <c r="K190" s="459" t="s">
        <v>506</v>
      </c>
      <c r="L190" s="427"/>
      <c r="M190" s="427"/>
      <c r="N190" s="374"/>
      <c r="O190" s="428"/>
      <c r="P190" s="374"/>
      <c r="Q190" s="428"/>
      <c r="R190" s="456" t="s">
        <v>610</v>
      </c>
      <c r="S190" s="452" t="s">
        <v>611</v>
      </c>
      <c r="T190" s="384"/>
    </row>
    <row r="191" spans="1:20" ht="213.75" hidden="1">
      <c r="A191" s="439"/>
      <c r="B191" s="440"/>
      <c r="C191" s="440"/>
      <c r="D191" s="440"/>
      <c r="E191" s="440"/>
      <c r="F191" s="440"/>
      <c r="G191" s="440"/>
      <c r="H191" s="442"/>
      <c r="I191" s="442"/>
      <c r="J191" s="623"/>
      <c r="K191" s="459" t="s">
        <v>325</v>
      </c>
      <c r="L191" s="427" t="s">
        <v>633</v>
      </c>
      <c r="M191" s="427" t="s">
        <v>514</v>
      </c>
      <c r="N191" s="374" t="s">
        <v>573</v>
      </c>
      <c r="O191" s="428" t="s">
        <v>638</v>
      </c>
      <c r="P191" s="427" t="s">
        <v>514</v>
      </c>
      <c r="Q191" s="427" t="s">
        <v>514</v>
      </c>
      <c r="R191" s="456" t="s">
        <v>607</v>
      </c>
      <c r="S191" s="452" t="s">
        <v>634</v>
      </c>
      <c r="T191" s="384"/>
    </row>
    <row r="192" spans="1:20" ht="132" hidden="1">
      <c r="A192" s="439"/>
      <c r="B192" s="440"/>
      <c r="C192" s="440"/>
      <c r="D192" s="440"/>
      <c r="E192" s="440"/>
      <c r="F192" s="440"/>
      <c r="G192" s="440"/>
      <c r="H192" s="442"/>
      <c r="I192" s="442"/>
      <c r="J192" s="623"/>
      <c r="K192" s="459" t="s">
        <v>151</v>
      </c>
      <c r="L192" s="427" t="s">
        <v>635</v>
      </c>
      <c r="M192" s="630" t="s">
        <v>639</v>
      </c>
      <c r="N192" s="374" t="s">
        <v>637</v>
      </c>
      <c r="O192" s="428" t="s">
        <v>636</v>
      </c>
      <c r="P192" s="374"/>
      <c r="Q192" s="428"/>
      <c r="R192" s="456" t="s">
        <v>598</v>
      </c>
      <c r="S192" s="452" t="s">
        <v>595</v>
      </c>
      <c r="T192" s="384"/>
    </row>
    <row r="193" spans="1:20" ht="105" hidden="1">
      <c r="A193" s="439"/>
      <c r="B193" s="440"/>
      <c r="C193" s="440"/>
      <c r="D193" s="440"/>
      <c r="E193" s="440"/>
      <c r="F193" s="440"/>
      <c r="G193" s="440"/>
      <c r="H193" s="442"/>
      <c r="I193" s="442"/>
      <c r="J193" s="623"/>
      <c r="K193" s="667" t="s">
        <v>153</v>
      </c>
      <c r="L193" s="427" t="s">
        <v>715</v>
      </c>
      <c r="M193" s="427" t="s">
        <v>514</v>
      </c>
      <c r="N193" s="374" t="s">
        <v>172</v>
      </c>
      <c r="O193" s="428" t="s">
        <v>716</v>
      </c>
      <c r="P193" s="427" t="s">
        <v>514</v>
      </c>
      <c r="Q193" s="427" t="s">
        <v>514</v>
      </c>
      <c r="R193" s="456" t="s">
        <v>603</v>
      </c>
      <c r="S193" s="452" t="s">
        <v>586</v>
      </c>
      <c r="T193" s="384"/>
    </row>
    <row r="194" spans="1:20" ht="224.25" hidden="1">
      <c r="A194" s="439"/>
      <c r="B194" s="440"/>
      <c r="C194" s="440"/>
      <c r="D194" s="440"/>
      <c r="E194" s="440"/>
      <c r="F194" s="440"/>
      <c r="G194" s="440"/>
      <c r="H194" s="442"/>
      <c r="I194" s="442"/>
      <c r="J194" s="629" t="s">
        <v>620</v>
      </c>
      <c r="K194" s="628" t="s">
        <v>155</v>
      </c>
      <c r="L194" s="427" t="s">
        <v>619</v>
      </c>
      <c r="M194" s="427" t="s">
        <v>514</v>
      </c>
      <c r="N194" s="374" t="s">
        <v>618</v>
      </c>
      <c r="O194" s="428" t="s">
        <v>617</v>
      </c>
      <c r="P194" s="427" t="s">
        <v>514</v>
      </c>
      <c r="Q194" s="427" t="s">
        <v>514</v>
      </c>
      <c r="R194" s="456" t="s">
        <v>597</v>
      </c>
      <c r="S194" s="452" t="s">
        <v>516</v>
      </c>
      <c r="T194" s="384"/>
    </row>
    <row r="195" spans="1:20" ht="30" hidden="1">
      <c r="A195" s="439"/>
      <c r="B195" s="440"/>
      <c r="C195" s="440"/>
      <c r="D195" s="440"/>
      <c r="E195" s="440"/>
      <c r="F195" s="440"/>
      <c r="G195" s="440"/>
      <c r="H195" s="442"/>
      <c r="I195" s="442"/>
      <c r="J195" s="623"/>
      <c r="K195" s="628" t="s">
        <v>329</v>
      </c>
      <c r="L195" s="427" t="s">
        <v>647</v>
      </c>
      <c r="M195" s="427"/>
      <c r="N195" s="374"/>
      <c r="O195" s="428"/>
      <c r="P195" s="374"/>
      <c r="Q195" s="428"/>
      <c r="R195" s="456"/>
      <c r="S195" s="452"/>
      <c r="T195" s="384"/>
    </row>
    <row r="196" spans="1:20" ht="20.25" hidden="1">
      <c r="A196" s="439"/>
      <c r="B196" s="440"/>
      <c r="C196" s="440"/>
      <c r="D196" s="440"/>
      <c r="E196" s="440"/>
      <c r="F196" s="440"/>
      <c r="G196" s="440"/>
      <c r="H196" s="442"/>
      <c r="I196" s="442"/>
      <c r="J196" s="623"/>
      <c r="K196" s="628" t="s">
        <v>320</v>
      </c>
      <c r="L196" s="427" t="s">
        <v>648</v>
      </c>
      <c r="M196" s="427"/>
      <c r="N196" s="374"/>
      <c r="O196" s="428"/>
      <c r="P196" s="374"/>
      <c r="Q196" s="428"/>
      <c r="R196" s="456"/>
      <c r="S196" s="452"/>
      <c r="T196" s="384"/>
    </row>
    <row r="197" spans="1:20" ht="51" hidden="1">
      <c r="A197" s="439"/>
      <c r="B197" s="440"/>
      <c r="C197" s="440"/>
      <c r="D197" s="440"/>
      <c r="E197" s="440"/>
      <c r="F197" s="440"/>
      <c r="G197" s="440"/>
      <c r="H197" s="442"/>
      <c r="I197" s="442"/>
      <c r="J197" s="623"/>
      <c r="K197" s="628" t="s">
        <v>322</v>
      </c>
      <c r="L197" s="427" t="s">
        <v>649</v>
      </c>
      <c r="M197" s="427"/>
      <c r="N197" s="374"/>
      <c r="O197" s="428"/>
      <c r="P197" s="374"/>
      <c r="Q197" s="428"/>
      <c r="R197" s="456"/>
      <c r="S197" s="452"/>
      <c r="T197" s="384"/>
    </row>
    <row r="198" spans="1:20" ht="40.5" hidden="1">
      <c r="A198" s="439"/>
      <c r="B198" s="440"/>
      <c r="C198" s="440"/>
      <c r="D198" s="440"/>
      <c r="E198" s="440"/>
      <c r="F198" s="440"/>
      <c r="G198" s="440"/>
      <c r="H198" s="442"/>
      <c r="I198" s="442"/>
      <c r="J198" s="623"/>
      <c r="K198" s="628" t="s">
        <v>319</v>
      </c>
      <c r="L198" s="427" t="s">
        <v>650</v>
      </c>
      <c r="M198" s="427"/>
      <c r="N198" s="374"/>
      <c r="O198" s="428"/>
      <c r="P198" s="374"/>
      <c r="Q198" s="428"/>
      <c r="R198" s="456"/>
      <c r="S198" s="452"/>
      <c r="T198" s="384"/>
    </row>
    <row r="199" spans="1:20" ht="184.5" hidden="1">
      <c r="A199" s="439"/>
      <c r="B199" s="440"/>
      <c r="C199" s="440"/>
      <c r="D199" s="440"/>
      <c r="E199" s="440"/>
      <c r="F199" s="440"/>
      <c r="G199" s="440"/>
      <c r="H199" s="442"/>
      <c r="I199" s="442"/>
      <c r="J199" s="623"/>
      <c r="K199" s="459" t="s">
        <v>159</v>
      </c>
      <c r="L199" s="427" t="s">
        <v>644</v>
      </c>
      <c r="M199" s="427" t="s">
        <v>514</v>
      </c>
      <c r="N199" s="374" t="s">
        <v>646</v>
      </c>
      <c r="O199" s="428" t="s">
        <v>645</v>
      </c>
      <c r="P199" s="427" t="s">
        <v>514</v>
      </c>
      <c r="Q199" s="427" t="s">
        <v>514</v>
      </c>
      <c r="R199" s="456" t="s">
        <v>612</v>
      </c>
      <c r="S199" s="452" t="s">
        <v>613</v>
      </c>
      <c r="T199" s="384"/>
    </row>
    <row r="200" spans="1:20" ht="92.25" hidden="1">
      <c r="A200" s="439"/>
      <c r="B200" s="440"/>
      <c r="C200" s="440"/>
      <c r="D200" s="440"/>
      <c r="E200" s="440"/>
      <c r="F200" s="440"/>
      <c r="G200" s="440"/>
      <c r="H200" s="442"/>
      <c r="I200" s="442"/>
      <c r="J200" s="623"/>
      <c r="K200" s="459" t="s">
        <v>331</v>
      </c>
      <c r="L200" s="427" t="s">
        <v>622</v>
      </c>
      <c r="M200" s="427" t="s">
        <v>514</v>
      </c>
      <c r="N200" s="374" t="s">
        <v>624</v>
      </c>
      <c r="O200" s="428" t="s">
        <v>623</v>
      </c>
      <c r="P200" s="427" t="s">
        <v>514</v>
      </c>
      <c r="Q200" s="427" t="s">
        <v>514</v>
      </c>
      <c r="R200" s="456" t="s">
        <v>600</v>
      </c>
      <c r="S200" s="452" t="s">
        <v>599</v>
      </c>
      <c r="T200" s="384"/>
    </row>
    <row r="201" spans="1:20" ht="158.25" hidden="1">
      <c r="A201" s="439"/>
      <c r="B201" s="440"/>
      <c r="C201" s="440"/>
      <c r="D201" s="440"/>
      <c r="E201" s="440"/>
      <c r="F201" s="440"/>
      <c r="G201" s="440"/>
      <c r="H201" s="442"/>
      <c r="I201" s="442"/>
      <c r="J201" s="624" t="s">
        <v>616</v>
      </c>
      <c r="K201" s="459" t="s">
        <v>13</v>
      </c>
      <c r="L201" s="427" t="s">
        <v>43</v>
      </c>
      <c r="M201" s="427" t="s">
        <v>45</v>
      </c>
      <c r="N201" s="374" t="s">
        <v>172</v>
      </c>
      <c r="O201" s="428" t="s">
        <v>563</v>
      </c>
      <c r="P201" s="427" t="s">
        <v>514</v>
      </c>
      <c r="Q201" s="427" t="s">
        <v>514</v>
      </c>
      <c r="R201" s="456" t="s">
        <v>615</v>
      </c>
      <c r="S201" s="452" t="s">
        <v>499</v>
      </c>
      <c r="T201" s="384"/>
    </row>
    <row r="202" spans="1:20" ht="118.5" hidden="1">
      <c r="A202" s="439"/>
      <c r="B202" s="440"/>
      <c r="C202" s="440"/>
      <c r="D202" s="440"/>
      <c r="E202" s="440"/>
      <c r="F202" s="440"/>
      <c r="G202" s="440"/>
      <c r="H202" s="442"/>
      <c r="I202" s="442"/>
      <c r="J202" s="623"/>
      <c r="K202" s="621" t="s">
        <v>161</v>
      </c>
      <c r="L202" s="427" t="s">
        <v>561</v>
      </c>
      <c r="M202" s="427" t="s">
        <v>514</v>
      </c>
      <c r="N202" s="374" t="s">
        <v>560</v>
      </c>
      <c r="O202" s="428" t="s">
        <v>559</v>
      </c>
      <c r="P202" s="427" t="s">
        <v>514</v>
      </c>
      <c r="Q202" s="427" t="s">
        <v>514</v>
      </c>
      <c r="R202" s="456" t="s">
        <v>596</v>
      </c>
      <c r="S202" s="452" t="s">
        <v>558</v>
      </c>
      <c r="T202" s="384"/>
    </row>
    <row r="203" spans="1:20" ht="118.5" hidden="1">
      <c r="A203" s="439"/>
      <c r="B203" s="440"/>
      <c r="C203" s="440"/>
      <c r="D203" s="440"/>
      <c r="E203" s="440"/>
      <c r="F203" s="440"/>
      <c r="G203" s="440"/>
      <c r="H203" s="442"/>
      <c r="I203" s="442"/>
      <c r="J203" s="624" t="s">
        <v>580</v>
      </c>
      <c r="K203" s="621" t="s">
        <v>163</v>
      </c>
      <c r="L203" s="622" t="str">
        <f>L202</f>
        <v>Наличие/получение  высшего профессионального образования в области дефектологии</v>
      </c>
      <c r="M203" s="622" t="str">
        <f aca="true" t="shared" si="4" ref="M203:S203">M202</f>
        <v> ---</v>
      </c>
      <c r="N203" s="622" t="str">
        <f t="shared" si="4"/>
        <v>Получить  высшее профессиональное образование в области дефектологии</v>
      </c>
      <c r="O203" s="622" t="str">
        <f t="shared" si="4"/>
        <v> 2) если у педагога нет высшего образования в области дефектологии</v>
      </c>
      <c r="P203" s="622" t="str">
        <f t="shared" si="4"/>
        <v> ---</v>
      </c>
      <c r="Q203" s="622" t="str">
        <f t="shared" si="4"/>
        <v> ---</v>
      </c>
      <c r="R203" s="622" t="str">
        <f t="shared" si="4"/>
        <v>Учитель-дефектолог, учитель-логопед (логопед) *</v>
      </c>
      <c r="S203" s="622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84"/>
    </row>
    <row r="204" spans="1:20" ht="13.5">
      <c r="A204" s="439"/>
      <c r="B204" s="440"/>
      <c r="C204" s="440"/>
      <c r="D204" s="440"/>
      <c r="E204" s="440"/>
      <c r="F204" s="440"/>
      <c r="G204" s="440"/>
      <c r="H204" s="442"/>
      <c r="I204" s="442"/>
      <c r="J204" s="623"/>
      <c r="K204" s="626" t="s">
        <v>323</v>
      </c>
      <c r="L204" s="427" t="s">
        <v>643</v>
      </c>
      <c r="M204" s="427"/>
      <c r="N204" s="374"/>
      <c r="O204" s="428"/>
      <c r="P204" s="374"/>
      <c r="Q204" s="428"/>
      <c r="R204" s="456"/>
      <c r="S204" s="452"/>
      <c r="T204" s="384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55"/>
      <c r="L205" s="455"/>
      <c r="M205" s="455"/>
      <c r="N205" s="455"/>
      <c r="O205" s="455"/>
      <c r="P205" s="455"/>
      <c r="Q205" s="455"/>
      <c r="R205" s="455"/>
      <c r="S205" s="455"/>
      <c r="T205" s="384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84"/>
    </row>
    <row r="207" spans="13:20" ht="12.75">
      <c r="M207" s="5"/>
      <c r="N207" s="5"/>
      <c r="T207" s="384"/>
    </row>
    <row r="208" spans="13:20" ht="12.75">
      <c r="M208" s="5"/>
      <c r="N208" s="5"/>
      <c r="T208" s="384"/>
    </row>
    <row r="209" spans="1:256" s="148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84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84"/>
    </row>
    <row r="211" spans="13:20" ht="12.75">
      <c r="M211" s="5"/>
      <c r="N211" s="5"/>
      <c r="T211" s="384"/>
    </row>
    <row r="212" spans="13:20" ht="12.75">
      <c r="M212" s="5"/>
      <c r="N212" s="5"/>
      <c r="T212" s="384"/>
    </row>
    <row r="213" spans="13:20" ht="12.75">
      <c r="M213" s="5"/>
      <c r="N213" s="5"/>
      <c r="T213" s="384"/>
    </row>
    <row r="214" spans="13:20" ht="12.75">
      <c r="M214" s="5"/>
      <c r="N214" s="5"/>
      <c r="T214" s="384"/>
    </row>
    <row r="215" spans="13:20" ht="12.75">
      <c r="M215" s="5"/>
      <c r="N215" s="5"/>
      <c r="T215" s="384"/>
    </row>
    <row r="216" spans="13:20" ht="12.75">
      <c r="M216" s="5"/>
      <c r="N216" s="5"/>
      <c r="T216" s="384"/>
    </row>
    <row r="217" spans="13:20" ht="12.75">
      <c r="M217" s="5"/>
      <c r="N217" s="5"/>
      <c r="T217" s="384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 objects="1" scenarios="1"/>
  <mergeCells count="93"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B51:E51"/>
    <mergeCell ref="B25:I25"/>
    <mergeCell ref="B62:J63"/>
    <mergeCell ref="B39:H39"/>
    <mergeCell ref="B40:H40"/>
    <mergeCell ref="A29:I29"/>
    <mergeCell ref="C43:I43"/>
    <mergeCell ref="A45:C45"/>
    <mergeCell ref="F49:H49"/>
    <mergeCell ref="B172:J172"/>
    <mergeCell ref="B171:J171"/>
    <mergeCell ref="A154:J154"/>
    <mergeCell ref="A168:J168"/>
    <mergeCell ref="A153:J153"/>
    <mergeCell ref="B37:I37"/>
    <mergeCell ref="B64:D64"/>
    <mergeCell ref="C112:I112"/>
    <mergeCell ref="C113:H113"/>
    <mergeCell ref="A124:J125"/>
    <mergeCell ref="I39:J39"/>
    <mergeCell ref="A19:I19"/>
    <mergeCell ref="B35:I35"/>
    <mergeCell ref="B27:F27"/>
    <mergeCell ref="H5:J7"/>
    <mergeCell ref="C33:E33"/>
    <mergeCell ref="B36:I36"/>
    <mergeCell ref="A31:B31"/>
    <mergeCell ref="C31:I31"/>
    <mergeCell ref="A78:E78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G84:H84"/>
    <mergeCell ref="A88:J89"/>
    <mergeCell ref="A93:H95"/>
    <mergeCell ref="A96:H97"/>
    <mergeCell ref="A100:J100"/>
    <mergeCell ref="C111:H111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"старший вожатый,"</formula1>
    </dataValidation>
    <dataValidation errorStyle="information" type="textLength" allowBlank="1" showInputMessage="1" showErrorMessage="1" promptTitle="Внимание!" prompt="----------------------&#10;в ИМЕНИТЕЛЬНОМ  падеже !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58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0"/>
  <sheetViews>
    <sheetView showGridLines="0" showRowColHeaders="0" zoomScalePageLayoutView="0" workbookViewId="0" topLeftCell="A40">
      <selection activeCell="A40" sqref="A40:W41"/>
    </sheetView>
  </sheetViews>
  <sheetFormatPr defaultColWidth="9.125" defaultRowHeight="12.75"/>
  <cols>
    <col min="1" max="1" width="4.50390625" style="257" customWidth="1"/>
    <col min="2" max="2" width="7.875" style="5" customWidth="1"/>
    <col min="3" max="4" width="6.625" style="5" customWidth="1"/>
    <col min="5" max="5" width="6.00390625" style="5" customWidth="1"/>
    <col min="6" max="7" width="4.375" style="5" customWidth="1"/>
    <col min="8" max="17" width="3.50390625" style="5" customWidth="1"/>
    <col min="18" max="18" width="4.125" style="5" customWidth="1"/>
    <col min="19" max="20" width="3.50390625" style="5" customWidth="1"/>
    <col min="21" max="21" width="5.00390625" style="5" bestFit="1" customWidth="1"/>
    <col min="22" max="22" width="3.125" style="5" customWidth="1"/>
    <col min="23" max="23" width="3.50390625" style="5" customWidth="1"/>
    <col min="24" max="24" width="0.875" style="5" customWidth="1"/>
    <col min="25" max="25" width="12.50390625" style="5" hidden="1" customWidth="1"/>
    <col min="26" max="26" width="10.375" style="5" hidden="1" customWidth="1"/>
    <col min="27" max="27" width="10.625" style="5" hidden="1" customWidth="1"/>
    <col min="28" max="28" width="15.375" style="5" hidden="1" customWidth="1"/>
    <col min="29" max="29" width="10.625" style="5" hidden="1" customWidth="1"/>
    <col min="30" max="30" width="6.50390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311"/>
      <c r="Y1" s="236"/>
      <c r="Z1" s="237"/>
      <c r="AA1" s="225"/>
      <c r="AB1" s="225" t="s">
        <v>179</v>
      </c>
      <c r="AC1" s="238" t="s">
        <v>180</v>
      </c>
      <c r="AE1" s="191"/>
      <c r="AF1" s="646" t="s">
        <v>664</v>
      </c>
      <c r="AG1" s="546" t="s">
        <v>537</v>
      </c>
      <c r="AH1" s="546" t="s">
        <v>538</v>
      </c>
    </row>
    <row r="2" spans="24:35" ht="12.75" customHeight="1" hidden="1">
      <c r="X2" s="311"/>
      <c r="Y2" s="350" t="s">
        <v>120</v>
      </c>
      <c r="Z2" s="354"/>
      <c r="AA2" s="344" t="s">
        <v>369</v>
      </c>
      <c r="AB2" s="228"/>
      <c r="AC2" s="229">
        <f>LEN(AA2)</f>
        <v>8</v>
      </c>
      <c r="AE2" s="338" t="s">
        <v>121</v>
      </c>
      <c r="AF2" s="647"/>
      <c r="AG2" s="546"/>
      <c r="AH2" s="648"/>
      <c r="AI2" s="5" t="s">
        <v>120</v>
      </c>
    </row>
    <row r="3" spans="24:35" ht="12.75" hidden="1">
      <c r="X3" s="311"/>
      <c r="Y3" s="351" t="s">
        <v>122</v>
      </c>
      <c r="Z3" s="355" t="s">
        <v>141</v>
      </c>
      <c r="AA3" s="344" t="s">
        <v>370</v>
      </c>
      <c r="AB3" s="228"/>
      <c r="AC3" s="229">
        <f aca="true" t="shared" si="0" ref="AC3:AC33">LEN(AA3)</f>
        <v>11</v>
      </c>
      <c r="AE3" s="338" t="s">
        <v>123</v>
      </c>
      <c r="AF3" s="647"/>
      <c r="AG3" s="546"/>
      <c r="AH3" s="648"/>
      <c r="AI3" s="5" t="s">
        <v>122</v>
      </c>
    </row>
    <row r="4" spans="24:35" ht="12.75" hidden="1">
      <c r="X4" s="311"/>
      <c r="Y4" s="352" t="s">
        <v>124</v>
      </c>
      <c r="Z4" s="356"/>
      <c r="AA4" s="344" t="s">
        <v>371</v>
      </c>
      <c r="AB4" s="228"/>
      <c r="AC4" s="229">
        <f t="shared" si="0"/>
        <v>11</v>
      </c>
      <c r="AE4" s="338" t="s">
        <v>125</v>
      </c>
      <c r="AF4" s="647"/>
      <c r="AG4" s="546"/>
      <c r="AH4" s="648"/>
      <c r="AI4" s="5" t="s">
        <v>124</v>
      </c>
    </row>
    <row r="5" spans="24:35" ht="12.75" hidden="1">
      <c r="X5" s="311"/>
      <c r="Y5" s="351" t="s">
        <v>126</v>
      </c>
      <c r="Z5" s="355"/>
      <c r="AA5" s="344" t="s">
        <v>372</v>
      </c>
      <c r="AB5" s="228"/>
      <c r="AC5" s="229">
        <f t="shared" si="0"/>
        <v>20</v>
      </c>
      <c r="AE5" s="338" t="s">
        <v>127</v>
      </c>
      <c r="AF5" s="647">
        <v>10</v>
      </c>
      <c r="AG5" s="546">
        <v>230</v>
      </c>
      <c r="AH5" s="648">
        <v>390</v>
      </c>
      <c r="AI5" s="5" t="s">
        <v>126</v>
      </c>
    </row>
    <row r="6" spans="24:35" ht="12.75" hidden="1">
      <c r="X6" s="311"/>
      <c r="Y6" s="351" t="s">
        <v>128</v>
      </c>
      <c r="Z6" s="355"/>
      <c r="AA6" s="344" t="s">
        <v>579</v>
      </c>
      <c r="AB6" s="228"/>
      <c r="AC6" s="229">
        <f t="shared" si="0"/>
        <v>34</v>
      </c>
      <c r="AE6" s="338" t="s">
        <v>129</v>
      </c>
      <c r="AF6" s="647">
        <v>5</v>
      </c>
      <c r="AG6" s="561">
        <v>210</v>
      </c>
      <c r="AH6" s="562">
        <v>440</v>
      </c>
      <c r="AI6" s="5" t="s">
        <v>128</v>
      </c>
    </row>
    <row r="7" spans="24:35" ht="12.75" hidden="1">
      <c r="X7" s="311"/>
      <c r="Y7" s="351" t="s">
        <v>130</v>
      </c>
      <c r="Z7" s="355"/>
      <c r="AA7" s="344" t="s">
        <v>373</v>
      </c>
      <c r="AB7" s="228"/>
      <c r="AC7" s="229">
        <f t="shared" si="0"/>
        <v>21</v>
      </c>
      <c r="AE7" s="338" t="s">
        <v>131</v>
      </c>
      <c r="AF7" s="647">
        <v>21</v>
      </c>
      <c r="AG7" s="546">
        <v>270</v>
      </c>
      <c r="AH7" s="648">
        <v>460</v>
      </c>
      <c r="AI7" s="5" t="s">
        <v>130</v>
      </c>
    </row>
    <row r="8" spans="24:35" ht="12.75" hidden="1">
      <c r="X8" s="311"/>
      <c r="Y8" s="351" t="s">
        <v>132</v>
      </c>
      <c r="Z8" s="355"/>
      <c r="AA8" s="344" t="s">
        <v>374</v>
      </c>
      <c r="AB8" s="228"/>
      <c r="AC8" s="229">
        <f t="shared" si="0"/>
        <v>15</v>
      </c>
      <c r="AE8" s="338" t="s">
        <v>133</v>
      </c>
      <c r="AF8" s="647">
        <v>18</v>
      </c>
      <c r="AG8" s="546">
        <v>150</v>
      </c>
      <c r="AH8" s="648">
        <v>280</v>
      </c>
      <c r="AI8" s="5" t="s">
        <v>132</v>
      </c>
    </row>
    <row r="9" spans="24:35" ht="12.75" hidden="1">
      <c r="X9" s="311"/>
      <c r="Y9" s="352" t="s">
        <v>134</v>
      </c>
      <c r="Z9" s="356"/>
      <c r="AA9" s="344" t="s">
        <v>375</v>
      </c>
      <c r="AB9" s="228"/>
      <c r="AC9" s="229">
        <f t="shared" si="0"/>
        <v>8</v>
      </c>
      <c r="AE9" s="338" t="s">
        <v>135</v>
      </c>
      <c r="AF9" s="647">
        <v>6</v>
      </c>
      <c r="AG9" s="576">
        <v>260</v>
      </c>
      <c r="AH9" s="577">
        <v>490</v>
      </c>
      <c r="AI9" s="5" t="s">
        <v>134</v>
      </c>
    </row>
    <row r="10" spans="24:35" ht="12.75" hidden="1">
      <c r="X10" s="311"/>
      <c r="Y10" s="351" t="s">
        <v>136</v>
      </c>
      <c r="Z10" s="355"/>
      <c r="AA10" s="344" t="s">
        <v>467</v>
      </c>
      <c r="AB10" s="228"/>
      <c r="AC10" s="229">
        <f t="shared" si="0"/>
        <v>34</v>
      </c>
      <c r="AE10" s="338" t="s">
        <v>468</v>
      </c>
      <c r="AF10" s="647">
        <v>22</v>
      </c>
      <c r="AG10" s="546">
        <v>190</v>
      </c>
      <c r="AH10" s="648">
        <v>340</v>
      </c>
      <c r="AI10" s="5" t="s">
        <v>136</v>
      </c>
    </row>
    <row r="11" spans="24:35" ht="12.75" hidden="1">
      <c r="X11" s="311"/>
      <c r="Y11" s="351" t="s">
        <v>137</v>
      </c>
      <c r="Z11" s="355"/>
      <c r="AA11" s="344" t="s">
        <v>376</v>
      </c>
      <c r="AB11" s="228"/>
      <c r="AC11" s="229">
        <f t="shared" si="0"/>
        <v>9</v>
      </c>
      <c r="AE11" s="338" t="s">
        <v>138</v>
      </c>
      <c r="AF11" s="647">
        <v>13</v>
      </c>
      <c r="AG11" s="546">
        <v>250</v>
      </c>
      <c r="AH11" s="648">
        <v>440</v>
      </c>
      <c r="AI11" s="5" t="s">
        <v>137</v>
      </c>
    </row>
    <row r="12" spans="24:35" ht="12.75" hidden="1">
      <c r="X12" s="311"/>
      <c r="Y12" s="351" t="s">
        <v>139</v>
      </c>
      <c r="Z12" s="355"/>
      <c r="AA12" s="344" t="s">
        <v>377</v>
      </c>
      <c r="AB12" s="228"/>
      <c r="AC12" s="229">
        <f t="shared" si="0"/>
        <v>25</v>
      </c>
      <c r="AE12" s="338" t="s">
        <v>140</v>
      </c>
      <c r="AF12" s="647">
        <v>4</v>
      </c>
      <c r="AG12" s="561">
        <v>200</v>
      </c>
      <c r="AH12" s="562">
        <v>390</v>
      </c>
      <c r="AI12" s="5" t="s">
        <v>139</v>
      </c>
    </row>
    <row r="13" spans="24:35" ht="12.75" hidden="1">
      <c r="X13" s="311"/>
      <c r="Y13" s="351" t="s">
        <v>142</v>
      </c>
      <c r="Z13" s="355"/>
      <c r="AA13" s="344" t="s">
        <v>378</v>
      </c>
      <c r="AB13" s="228"/>
      <c r="AC13" s="229">
        <f t="shared" si="0"/>
        <v>25</v>
      </c>
      <c r="AE13" s="338" t="s">
        <v>143</v>
      </c>
      <c r="AF13" s="647">
        <v>19</v>
      </c>
      <c r="AG13" s="546">
        <v>240</v>
      </c>
      <c r="AH13" s="648">
        <v>400</v>
      </c>
      <c r="AI13" s="5" t="s">
        <v>142</v>
      </c>
    </row>
    <row r="14" spans="24:35" ht="12.75" hidden="1">
      <c r="X14" s="311"/>
      <c r="Y14" s="350" t="s">
        <v>327</v>
      </c>
      <c r="Z14" s="354"/>
      <c r="AA14" s="344" t="s">
        <v>379</v>
      </c>
      <c r="AB14" s="228"/>
      <c r="AC14" s="229">
        <f t="shared" si="0"/>
        <v>21</v>
      </c>
      <c r="AE14" s="338" t="s">
        <v>328</v>
      </c>
      <c r="AF14" s="647">
        <v>15</v>
      </c>
      <c r="AG14" s="546">
        <v>160</v>
      </c>
      <c r="AH14" s="648">
        <v>260</v>
      </c>
      <c r="AI14" s="5" t="s">
        <v>327</v>
      </c>
    </row>
    <row r="15" spans="24:35" ht="12.75" hidden="1">
      <c r="X15" s="311"/>
      <c r="Y15" s="351" t="s">
        <v>144</v>
      </c>
      <c r="Z15" s="355" t="s">
        <v>141</v>
      </c>
      <c r="AA15" s="344" t="s">
        <v>380</v>
      </c>
      <c r="AB15" s="228"/>
      <c r="AC15" s="229">
        <f t="shared" si="0"/>
        <v>21</v>
      </c>
      <c r="AE15" s="338" t="s">
        <v>145</v>
      </c>
      <c r="AF15" s="647">
        <v>9</v>
      </c>
      <c r="AG15" s="546">
        <v>220</v>
      </c>
      <c r="AH15" s="648">
        <v>420</v>
      </c>
      <c r="AI15" s="5" t="s">
        <v>144</v>
      </c>
    </row>
    <row r="16" spans="24:35" ht="13.5" hidden="1" thickBot="1">
      <c r="X16" s="311"/>
      <c r="Y16" s="351" t="s">
        <v>146</v>
      </c>
      <c r="Z16" s="355"/>
      <c r="AA16" s="344" t="s">
        <v>381</v>
      </c>
      <c r="AB16" s="228"/>
      <c r="AC16" s="229">
        <f t="shared" si="0"/>
        <v>18</v>
      </c>
      <c r="AE16" s="338" t="s">
        <v>147</v>
      </c>
      <c r="AF16" s="647"/>
      <c r="AG16" s="546"/>
      <c r="AH16" s="648"/>
      <c r="AI16" s="5" t="s">
        <v>146</v>
      </c>
    </row>
    <row r="17" spans="24:42" ht="13.5" hidden="1" thickBot="1">
      <c r="X17" s="311"/>
      <c r="Y17" s="351" t="s">
        <v>148</v>
      </c>
      <c r="Z17" s="355" t="s">
        <v>141</v>
      </c>
      <c r="AA17" s="344" t="s">
        <v>382</v>
      </c>
      <c r="AB17" s="228"/>
      <c r="AC17" s="229">
        <f t="shared" si="0"/>
        <v>13</v>
      </c>
      <c r="AE17" s="338" t="s">
        <v>149</v>
      </c>
      <c r="AF17" s="647"/>
      <c r="AG17" s="546"/>
      <c r="AH17" s="648"/>
      <c r="AI17" s="5" t="s">
        <v>148</v>
      </c>
      <c r="AK17" s="649" t="s">
        <v>665</v>
      </c>
      <c r="AL17" s="650">
        <v>190</v>
      </c>
      <c r="AM17" s="651">
        <v>240</v>
      </c>
      <c r="AN17" s="649" t="s">
        <v>666</v>
      </c>
      <c r="AO17" s="650">
        <v>190</v>
      </c>
      <c r="AP17" s="651">
        <v>350</v>
      </c>
    </row>
    <row r="18" spans="24:35" ht="12.75" hidden="1">
      <c r="X18" s="311"/>
      <c r="Y18" s="351" t="s">
        <v>401</v>
      </c>
      <c r="Z18" s="355" t="s">
        <v>141</v>
      </c>
      <c r="AA18" s="344" t="s">
        <v>383</v>
      </c>
      <c r="AB18" s="228"/>
      <c r="AC18" s="229">
        <f t="shared" si="0"/>
        <v>30</v>
      </c>
      <c r="AE18" s="338" t="s">
        <v>368</v>
      </c>
      <c r="AF18" s="647">
        <v>11</v>
      </c>
      <c r="AG18" s="546">
        <v>260</v>
      </c>
      <c r="AH18" s="648">
        <v>490</v>
      </c>
      <c r="AI18" s="5" t="s">
        <v>506</v>
      </c>
    </row>
    <row r="19" spans="24:35" ht="12.75" hidden="1">
      <c r="X19" s="311"/>
      <c r="Y19" s="351" t="s">
        <v>325</v>
      </c>
      <c r="Z19" s="355"/>
      <c r="AA19" s="344" t="s">
        <v>384</v>
      </c>
      <c r="AB19" s="228"/>
      <c r="AC19" s="229">
        <f t="shared" si="0"/>
        <v>28</v>
      </c>
      <c r="AE19" s="338" t="s">
        <v>150</v>
      </c>
      <c r="AF19" s="647">
        <v>8</v>
      </c>
      <c r="AG19" s="546">
        <v>250</v>
      </c>
      <c r="AH19" s="648">
        <v>440</v>
      </c>
      <c r="AI19" s="5" t="s">
        <v>325</v>
      </c>
    </row>
    <row r="20" spans="24:35" ht="12.75" hidden="1">
      <c r="X20" s="311"/>
      <c r="Y20" s="351" t="s">
        <v>151</v>
      </c>
      <c r="Z20" s="355"/>
      <c r="AA20" s="344" t="s">
        <v>385</v>
      </c>
      <c r="AB20" s="228"/>
      <c r="AC20" s="229">
        <f t="shared" si="0"/>
        <v>20</v>
      </c>
      <c r="AE20" s="338" t="s">
        <v>152</v>
      </c>
      <c r="AF20" s="647">
        <v>17</v>
      </c>
      <c r="AG20" s="546">
        <v>250</v>
      </c>
      <c r="AH20" s="648">
        <v>430</v>
      </c>
      <c r="AI20" s="5" t="s">
        <v>151</v>
      </c>
    </row>
    <row r="21" spans="24:35" ht="12.75" hidden="1">
      <c r="X21" s="311"/>
      <c r="Y21" s="350" t="s">
        <v>153</v>
      </c>
      <c r="Z21" s="354"/>
      <c r="AA21" s="344" t="s">
        <v>386</v>
      </c>
      <c r="AB21" s="228"/>
      <c r="AC21" s="229">
        <f t="shared" si="0"/>
        <v>17</v>
      </c>
      <c r="AE21" s="338" t="s">
        <v>154</v>
      </c>
      <c r="AF21" s="647">
        <v>25</v>
      </c>
      <c r="AG21" s="546">
        <v>160</v>
      </c>
      <c r="AH21" s="648">
        <v>290</v>
      </c>
      <c r="AI21" s="5" t="s">
        <v>153</v>
      </c>
    </row>
    <row r="22" spans="24:35" ht="12.75" hidden="1">
      <c r="X22" s="311"/>
      <c r="Y22" s="350" t="s">
        <v>155</v>
      </c>
      <c r="Z22" s="354"/>
      <c r="AA22" s="344" t="s">
        <v>387</v>
      </c>
      <c r="AB22" s="228"/>
      <c r="AC22" s="229">
        <f t="shared" si="0"/>
        <v>20</v>
      </c>
      <c r="AE22" s="338" t="s">
        <v>156</v>
      </c>
      <c r="AF22" s="647">
        <v>13</v>
      </c>
      <c r="AG22" s="546">
        <v>250</v>
      </c>
      <c r="AH22" s="648">
        <v>440</v>
      </c>
      <c r="AI22" s="5" t="s">
        <v>155</v>
      </c>
    </row>
    <row r="23" spans="24:35" ht="12.75" hidden="1">
      <c r="X23" s="311"/>
      <c r="Y23" s="350" t="s">
        <v>329</v>
      </c>
      <c r="Z23" s="354"/>
      <c r="AA23" s="344" t="s">
        <v>388</v>
      </c>
      <c r="AB23" s="228"/>
      <c r="AC23" s="229">
        <f t="shared" si="0"/>
        <v>30</v>
      </c>
      <c r="AE23" s="338" t="s">
        <v>330</v>
      </c>
      <c r="AF23" s="647"/>
      <c r="AG23" s="546"/>
      <c r="AH23" s="648"/>
      <c r="AI23" s="5" t="s">
        <v>329</v>
      </c>
    </row>
    <row r="24" spans="24:35" ht="12.75" hidden="1">
      <c r="X24" s="311"/>
      <c r="Y24" s="350" t="s">
        <v>320</v>
      </c>
      <c r="Z24" s="354"/>
      <c r="AA24" s="344" t="s">
        <v>389</v>
      </c>
      <c r="AB24" s="228"/>
      <c r="AC24" s="229">
        <f t="shared" si="0"/>
        <v>18</v>
      </c>
      <c r="AE24" s="338" t="s">
        <v>321</v>
      </c>
      <c r="AF24" s="647"/>
      <c r="AG24" s="546"/>
      <c r="AH24" s="648"/>
      <c r="AI24" s="5" t="s">
        <v>320</v>
      </c>
    </row>
    <row r="25" spans="24:35" ht="12.75" hidden="1">
      <c r="X25" s="311"/>
      <c r="Y25" s="350" t="s">
        <v>322</v>
      </c>
      <c r="Z25" s="354"/>
      <c r="AA25" s="344" t="s">
        <v>390</v>
      </c>
      <c r="AB25" s="228"/>
      <c r="AC25" s="229">
        <f t="shared" si="0"/>
        <v>33</v>
      </c>
      <c r="AE25" s="338" t="s">
        <v>326</v>
      </c>
      <c r="AF25" s="647"/>
      <c r="AG25" s="546"/>
      <c r="AH25" s="648"/>
      <c r="AI25" s="5" t="s">
        <v>322</v>
      </c>
    </row>
    <row r="26" spans="24:35" ht="12.75" hidden="1">
      <c r="X26" s="311"/>
      <c r="Y26" s="350" t="s">
        <v>319</v>
      </c>
      <c r="Z26" s="354"/>
      <c r="AA26" s="344" t="s">
        <v>391</v>
      </c>
      <c r="AB26" s="228"/>
      <c r="AC26" s="229">
        <f t="shared" si="0"/>
        <v>16</v>
      </c>
      <c r="AE26" s="338" t="s">
        <v>318</v>
      </c>
      <c r="AF26" s="647"/>
      <c r="AG26" s="546"/>
      <c r="AH26" s="648"/>
      <c r="AI26" s="5" t="s">
        <v>319</v>
      </c>
    </row>
    <row r="27" spans="24:35" ht="12.75" hidden="1">
      <c r="X27" s="311"/>
      <c r="Y27" s="352" t="s">
        <v>157</v>
      </c>
      <c r="Z27" s="356" t="s">
        <v>141</v>
      </c>
      <c r="AA27" s="344" t="s">
        <v>392</v>
      </c>
      <c r="AB27" s="228"/>
      <c r="AC27" s="229">
        <f t="shared" si="0"/>
        <v>7</v>
      </c>
      <c r="AE27" s="338" t="s">
        <v>158</v>
      </c>
      <c r="AF27" s="647"/>
      <c r="AG27" s="546"/>
      <c r="AH27" s="648"/>
      <c r="AI27" s="5" t="s">
        <v>157</v>
      </c>
    </row>
    <row r="28" spans="24:35" ht="12.75" hidden="1">
      <c r="X28" s="311"/>
      <c r="Y28" s="351" t="s">
        <v>159</v>
      </c>
      <c r="Z28" s="355" t="s">
        <v>141</v>
      </c>
      <c r="AA28" s="344" t="s">
        <v>393</v>
      </c>
      <c r="AB28" s="228"/>
      <c r="AC28" s="229">
        <f t="shared" si="0"/>
        <v>21</v>
      </c>
      <c r="AE28" s="338" t="s">
        <v>160</v>
      </c>
      <c r="AF28" s="647">
        <v>20</v>
      </c>
      <c r="AG28" s="546">
        <v>240</v>
      </c>
      <c r="AH28" s="648">
        <v>450</v>
      </c>
      <c r="AI28" s="5" t="s">
        <v>159</v>
      </c>
    </row>
    <row r="29" spans="24:35" ht="12.75" hidden="1">
      <c r="X29" s="311"/>
      <c r="Y29" s="350" t="s">
        <v>331</v>
      </c>
      <c r="Z29" s="354" t="s">
        <v>141</v>
      </c>
      <c r="AA29" s="344" t="s">
        <v>394</v>
      </c>
      <c r="AB29" s="228"/>
      <c r="AC29" s="229">
        <f t="shared" si="0"/>
        <v>7</v>
      </c>
      <c r="AE29" s="338" t="s">
        <v>332</v>
      </c>
      <c r="AF29" s="647">
        <v>14</v>
      </c>
      <c r="AG29" s="546">
        <v>220</v>
      </c>
      <c r="AH29" s="648">
        <v>390</v>
      </c>
      <c r="AI29" s="5" t="s">
        <v>331</v>
      </c>
    </row>
    <row r="30" spans="24:35" ht="12.75" hidden="1">
      <c r="X30" s="311"/>
      <c r="Y30" s="351" t="s">
        <v>13</v>
      </c>
      <c r="Z30" s="355" t="s">
        <v>141</v>
      </c>
      <c r="AA30" s="344" t="s">
        <v>395</v>
      </c>
      <c r="AB30" s="228"/>
      <c r="AC30" s="229">
        <f t="shared" si="0"/>
        <v>7</v>
      </c>
      <c r="AE30" s="338" t="s">
        <v>6</v>
      </c>
      <c r="AF30" s="647">
        <v>1.12</v>
      </c>
      <c r="AG30" s="546">
        <v>210</v>
      </c>
      <c r="AH30" s="648">
        <v>450</v>
      </c>
      <c r="AI30" s="5" t="s">
        <v>13</v>
      </c>
    </row>
    <row r="31" spans="24:35" ht="12.75" hidden="1">
      <c r="X31" s="311"/>
      <c r="Y31" s="353" t="s">
        <v>161</v>
      </c>
      <c r="Z31" s="355"/>
      <c r="AA31" s="344" t="s">
        <v>396</v>
      </c>
      <c r="AB31" s="228"/>
      <c r="AC31" s="229">
        <f>LEN(AA31)</f>
        <v>19</v>
      </c>
      <c r="AE31" s="338" t="s">
        <v>162</v>
      </c>
      <c r="AF31" s="647">
        <v>12.24</v>
      </c>
      <c r="AG31" s="546"/>
      <c r="AH31" s="648"/>
      <c r="AI31" s="5" t="s">
        <v>161</v>
      </c>
    </row>
    <row r="32" spans="24:35" ht="12.75" hidden="1">
      <c r="X32" s="311"/>
      <c r="Y32" s="353" t="s">
        <v>163</v>
      </c>
      <c r="Z32" s="355"/>
      <c r="AA32" s="344" t="s">
        <v>397</v>
      </c>
      <c r="AB32" s="228"/>
      <c r="AC32" s="229">
        <f t="shared" si="0"/>
        <v>16</v>
      </c>
      <c r="AE32" s="338" t="s">
        <v>164</v>
      </c>
      <c r="AF32" s="647">
        <v>6</v>
      </c>
      <c r="AG32" s="576">
        <v>260</v>
      </c>
      <c r="AH32" s="577">
        <v>490</v>
      </c>
      <c r="AI32" s="5" t="s">
        <v>163</v>
      </c>
    </row>
    <row r="33" spans="24:35" ht="12.75" hidden="1">
      <c r="X33" s="311"/>
      <c r="Y33" s="352" t="s">
        <v>323</v>
      </c>
      <c r="Z33" s="356"/>
      <c r="AA33" s="345" t="s">
        <v>398</v>
      </c>
      <c r="AB33" s="228"/>
      <c r="AC33" s="229">
        <f t="shared" si="0"/>
        <v>11</v>
      </c>
      <c r="AE33" s="339" t="s">
        <v>324</v>
      </c>
      <c r="AF33" s="647"/>
      <c r="AG33" s="546"/>
      <c r="AH33" s="648"/>
      <c r="AI33" s="5" t="s">
        <v>323</v>
      </c>
    </row>
    <row r="34" spans="24:34" ht="12.75" hidden="1">
      <c r="X34" s="311"/>
      <c r="Y34" s="228"/>
      <c r="Z34" s="228"/>
      <c r="AA34" s="338" t="s">
        <v>5</v>
      </c>
      <c r="AB34" s="228"/>
      <c r="AC34" s="229"/>
      <c r="AE34" s="338"/>
      <c r="AF34" s="647"/>
      <c r="AG34" s="546"/>
      <c r="AH34" s="648"/>
    </row>
    <row r="35" spans="24:36" ht="12.75" hidden="1">
      <c r="X35" s="311"/>
      <c r="Y35" s="230" t="str">
        <f>IF(OR('общие сведения'!L39=""),"Ошибка !",VLOOKUP('общие сведения'!L39,Y1:AB34,3))</f>
        <v>СТАРШЕГО ВОЖАТОГО</v>
      </c>
      <c r="Z35" s="231"/>
      <c r="AA35" s="232">
        <f>LEN(Y35)</f>
        <v>17</v>
      </c>
      <c r="AB35" s="233"/>
      <c r="AC35" s="429" t="str">
        <f>IF(AC37="","-",IF(VLOOKUP(AC37,Y2:Z34,2)="v","Специализация","."))</f>
        <v>.</v>
      </c>
      <c r="AE35" s="230" t="str">
        <f>VLOOKUP('общие сведения'!L39,Y1:AE34,7)</f>
        <v>старшего вожатого</v>
      </c>
      <c r="AG35" s="652">
        <f>VLOOKUP('общие сведения'!L39,Y1:AH34,9)</f>
        <v>160</v>
      </c>
      <c r="AH35" s="652">
        <f>VLOOKUP('общие сведения'!L39,Y1:AH34,10)</f>
        <v>290</v>
      </c>
      <c r="AI35" s="653" t="s">
        <v>204</v>
      </c>
      <c r="AJ35" s="654">
        <f>VLOOKUP('общие сведения'!L39,Y1:AH34,8)</f>
        <v>25</v>
      </c>
    </row>
    <row r="36" spans="24:36" ht="12.75" hidden="1">
      <c r="X36" s="311"/>
      <c r="Y36" s="234">
        <f>IF(ISERR(SEARCH(LEFT(Y35,5),D52)),0,1)</f>
        <v>0</v>
      </c>
      <c r="Z36" s="956"/>
      <c r="AA36" s="956"/>
      <c r="AB36" s="235"/>
      <c r="AC36" s="229"/>
      <c r="AG36" s="655" t="s">
        <v>2</v>
      </c>
      <c r="AH36" s="655" t="s">
        <v>3</v>
      </c>
      <c r="AI36" s="294"/>
      <c r="AJ36" s="656" t="s">
        <v>664</v>
      </c>
    </row>
    <row r="37" spans="24:29" ht="12.75" hidden="1">
      <c r="X37" s="311"/>
      <c r="Y37" s="228" t="str">
        <f>IF(AND(AA35&lt;31,Y36=1),Y35,AE35)</f>
        <v>старшего вожатого</v>
      </c>
      <c r="Z37" s="318"/>
      <c r="AA37" s="318"/>
      <c r="AB37" s="319"/>
      <c r="AC37" s="474" t="str">
        <f>'общие сведения'!B39</f>
        <v>старший вожатый</v>
      </c>
    </row>
    <row r="38" spans="24:29" ht="12.75" hidden="1">
      <c r="X38" s="311"/>
      <c r="Y38" s="228"/>
      <c r="Z38" s="318"/>
      <c r="AA38" s="318"/>
      <c r="AB38" s="319"/>
      <c r="AC38" s="178"/>
    </row>
    <row r="39" spans="24:29" ht="12.75" hidden="1">
      <c r="X39" s="311"/>
      <c r="Y39" s="228"/>
      <c r="Z39" s="318"/>
      <c r="AA39" s="318"/>
      <c r="AB39" s="319"/>
      <c r="AC39" s="178"/>
    </row>
    <row r="40" spans="1:24" ht="15" customHeight="1">
      <c r="A40" s="958" t="s">
        <v>181</v>
      </c>
      <c r="B40" s="958"/>
      <c r="C40" s="958"/>
      <c r="D40" s="958"/>
      <c r="E40" s="958"/>
      <c r="F40" s="958"/>
      <c r="G40" s="958"/>
      <c r="H40" s="958"/>
      <c r="I40" s="958"/>
      <c r="J40" s="958"/>
      <c r="K40" s="958"/>
      <c r="L40" s="958"/>
      <c r="M40" s="958"/>
      <c r="N40" s="958"/>
      <c r="O40" s="958"/>
      <c r="P40" s="958"/>
      <c r="Q40" s="958"/>
      <c r="R40" s="958"/>
      <c r="S40" s="958"/>
      <c r="T40" s="958"/>
      <c r="U40" s="958"/>
      <c r="V40" s="958"/>
      <c r="W40" s="958"/>
      <c r="X40" s="377"/>
    </row>
    <row r="41" spans="1:34" ht="3" customHeight="1">
      <c r="A41" s="958"/>
      <c r="B41" s="958"/>
      <c r="C41" s="958"/>
      <c r="D41" s="958"/>
      <c r="E41" s="958"/>
      <c r="F41" s="958"/>
      <c r="G41" s="958"/>
      <c r="H41" s="958"/>
      <c r="I41" s="958"/>
      <c r="J41" s="958"/>
      <c r="K41" s="958"/>
      <c r="L41" s="958"/>
      <c r="M41" s="958"/>
      <c r="N41" s="958"/>
      <c r="O41" s="958"/>
      <c r="P41" s="958"/>
      <c r="Q41" s="958"/>
      <c r="R41" s="958"/>
      <c r="S41" s="958"/>
      <c r="T41" s="958"/>
      <c r="U41" s="958"/>
      <c r="V41" s="958"/>
      <c r="W41" s="958"/>
      <c r="X41" s="377"/>
      <c r="AH41" s="377"/>
    </row>
    <row r="42" spans="1:34" ht="15" customHeight="1">
      <c r="A42" s="957" t="s">
        <v>697</v>
      </c>
      <c r="B42" s="957"/>
      <c r="C42" s="957"/>
      <c r="D42" s="957"/>
      <c r="E42" s="957"/>
      <c r="F42" s="957"/>
      <c r="G42" s="957"/>
      <c r="H42" s="957"/>
      <c r="I42" s="957"/>
      <c r="J42" s="957"/>
      <c r="K42" s="957"/>
      <c r="L42" s="957"/>
      <c r="M42" s="957"/>
      <c r="N42" s="957"/>
      <c r="O42" s="957"/>
      <c r="P42" s="957"/>
      <c r="Q42" s="957"/>
      <c r="R42" s="957"/>
      <c r="S42" s="957"/>
      <c r="T42" s="957"/>
      <c r="U42" s="957"/>
      <c r="V42" s="957"/>
      <c r="W42" s="957"/>
      <c r="X42" s="476" t="str">
        <f>'общие сведения'!T1</f>
        <v> ЭЗ - 05. 2021 г.</v>
      </c>
      <c r="Y42" s="57"/>
      <c r="AH42" s="377"/>
    </row>
    <row r="43" spans="1:34" ht="12.75">
      <c r="A43" s="957"/>
      <c r="B43" s="957"/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475" t="str">
        <f>'общие сведения'!T2</f>
        <v># 25</v>
      </c>
      <c r="AH43" s="377"/>
    </row>
    <row r="44" spans="1:34" ht="12.75">
      <c r="A44" s="957"/>
      <c r="B44" s="957"/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460"/>
      <c r="AH44" s="377"/>
    </row>
    <row r="45" spans="1:34" ht="18" customHeight="1">
      <c r="A45" s="963" t="s">
        <v>182</v>
      </c>
      <c r="B45" s="963"/>
      <c r="C45" s="963"/>
      <c r="D45" s="963"/>
      <c r="E45" s="963"/>
      <c r="F45" s="963"/>
      <c r="G45" s="963"/>
      <c r="H45" s="963"/>
      <c r="I45" s="963"/>
      <c r="J45" s="963"/>
      <c r="K45" s="963"/>
      <c r="L45" s="963"/>
      <c r="M45" s="963"/>
      <c r="N45" s="963"/>
      <c r="O45" s="963"/>
      <c r="P45" s="963"/>
      <c r="Q45" s="963"/>
      <c r="R45" s="963"/>
      <c r="S45" s="963"/>
      <c r="T45" s="963"/>
      <c r="U45" s="963"/>
      <c r="V45" s="963"/>
      <c r="W45" s="963"/>
      <c r="X45" s="460"/>
      <c r="AH45" s="377"/>
    </row>
    <row r="46" spans="1:34" ht="6.75" customHeight="1">
      <c r="A46" s="963"/>
      <c r="B46" s="963"/>
      <c r="C46" s="963"/>
      <c r="D46" s="963"/>
      <c r="E46" s="963"/>
      <c r="F46" s="963"/>
      <c r="G46" s="963"/>
      <c r="H46" s="963"/>
      <c r="I46" s="963"/>
      <c r="J46" s="963"/>
      <c r="K46" s="963"/>
      <c r="L46" s="963"/>
      <c r="M46" s="963"/>
      <c r="N46" s="963"/>
      <c r="O46" s="963"/>
      <c r="P46" s="963"/>
      <c r="Q46" s="963"/>
      <c r="R46" s="963"/>
      <c r="S46" s="963"/>
      <c r="T46" s="963"/>
      <c r="U46" s="963"/>
      <c r="V46" s="963"/>
      <c r="W46" s="963"/>
      <c r="X46" s="460"/>
      <c r="AH46" s="377"/>
    </row>
    <row r="47" spans="1:34" ht="12.75">
      <c r="A47" s="169" t="s">
        <v>9</v>
      </c>
      <c r="E47" s="959">
        <f>'общие сведения'!L31</f>
      </c>
      <c r="F47" s="959"/>
      <c r="G47" s="959"/>
      <c r="H47" s="959"/>
      <c r="I47" s="959"/>
      <c r="J47" s="959"/>
      <c r="K47" s="959"/>
      <c r="L47" s="959"/>
      <c r="M47" s="959"/>
      <c r="N47" s="959"/>
      <c r="O47" s="959"/>
      <c r="P47" s="959"/>
      <c r="Q47" s="959"/>
      <c r="R47" s="959"/>
      <c r="S47" s="959"/>
      <c r="T47" s="959"/>
      <c r="U47" s="959"/>
      <c r="V47" s="959"/>
      <c r="W47" s="959"/>
      <c r="X47" s="460"/>
      <c r="AH47" s="377"/>
    </row>
    <row r="48" spans="1:34" ht="12.75">
      <c r="A48" s="169" t="s">
        <v>11</v>
      </c>
      <c r="C48" s="960">
        <f>IF(FIO="","",'общие сведения'!L35)</f>
      </c>
      <c r="D48" s="960"/>
      <c r="E48" s="960"/>
      <c r="F48" s="960"/>
      <c r="G48" s="960"/>
      <c r="H48" s="960"/>
      <c r="I48" s="960"/>
      <c r="J48" s="960"/>
      <c r="K48" s="960"/>
      <c r="L48" s="960"/>
      <c r="M48" s="960"/>
      <c r="N48" s="960"/>
      <c r="O48" s="960"/>
      <c r="P48" s="960"/>
      <c r="Q48" s="960"/>
      <c r="R48" s="960"/>
      <c r="S48" s="960"/>
      <c r="T48" s="960"/>
      <c r="U48" s="960"/>
      <c r="V48" s="960"/>
      <c r="W48" s="960"/>
      <c r="X48" s="460"/>
      <c r="AH48" s="377"/>
    </row>
    <row r="49" spans="1:34" ht="12.75" customHeight="1">
      <c r="A49" s="960">
        <f>IF(FIO="","",'общие сведения'!L36)</f>
      </c>
      <c r="B49" s="960"/>
      <c r="C49" s="960"/>
      <c r="D49" s="960"/>
      <c r="E49" s="960"/>
      <c r="F49" s="960"/>
      <c r="G49" s="960"/>
      <c r="H49" s="960"/>
      <c r="I49" s="960"/>
      <c r="J49" s="960"/>
      <c r="K49" s="960"/>
      <c r="L49" s="960"/>
      <c r="M49" s="960"/>
      <c r="N49" s="960"/>
      <c r="O49" s="960"/>
      <c r="P49" s="960"/>
      <c r="Q49" s="960"/>
      <c r="R49" s="960"/>
      <c r="S49" s="960"/>
      <c r="T49" s="960"/>
      <c r="U49" s="960"/>
      <c r="V49" s="960"/>
      <c r="W49" s="960"/>
      <c r="X49" s="460"/>
      <c r="AH49" s="377"/>
    </row>
    <row r="50" spans="1:34" ht="12.75">
      <c r="A50" s="960">
        <f>IF(FIO="","",'общие сведения'!L37)</f>
      </c>
      <c r="B50" s="960"/>
      <c r="C50" s="960"/>
      <c r="D50" s="960"/>
      <c r="E50" s="960"/>
      <c r="F50" s="960"/>
      <c r="G50" s="960"/>
      <c r="H50" s="960"/>
      <c r="I50" s="960"/>
      <c r="J50" s="960"/>
      <c r="K50" s="960"/>
      <c r="L50" s="960"/>
      <c r="M50" s="960"/>
      <c r="N50" s="960"/>
      <c r="O50" s="960"/>
      <c r="P50" s="960"/>
      <c r="Q50" s="960"/>
      <c r="R50" s="960"/>
      <c r="S50" s="960"/>
      <c r="T50" s="960"/>
      <c r="U50" s="960"/>
      <c r="V50" s="960"/>
      <c r="W50" s="960"/>
      <c r="X50" s="460"/>
      <c r="AH50" s="377"/>
    </row>
    <row r="51" spans="1:34" ht="12.75">
      <c r="A51" s="169" t="s">
        <v>10</v>
      </c>
      <c r="E51" s="246">
        <f>IF(FIO="","",'общие сведения'!L33)</f>
      </c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460"/>
      <c r="AH51" s="377"/>
    </row>
    <row r="52" spans="1:34" ht="12.75" customHeight="1">
      <c r="A52" s="169" t="s">
        <v>12</v>
      </c>
      <c r="D52" s="214">
        <f>IF(FIO="","",'общие сведения'!L39)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460"/>
      <c r="AH52" s="377"/>
    </row>
    <row r="53" spans="1:34" ht="12.75" customHeight="1">
      <c r="A53" s="169" t="s">
        <v>183</v>
      </c>
      <c r="D53" s="214">
        <f>IF(FIO="","",'общие сведения'!L40)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460"/>
      <c r="AH53" s="377"/>
    </row>
    <row r="54" spans="1:34" ht="12.75">
      <c r="A54" s="169" t="s">
        <v>14</v>
      </c>
      <c r="E54" s="240">
        <f>IF(FIO="","",'общие сведения'!D45)</f>
      </c>
      <c r="F54" s="240">
        <f>IF(FIO="","",'общие сведения'!E45)</f>
      </c>
      <c r="G54" s="246"/>
      <c r="H54" s="211"/>
      <c r="I54" s="173"/>
      <c r="J54" s="173"/>
      <c r="X54" s="460"/>
      <c r="AH54" s="377"/>
    </row>
    <row r="55" spans="1:34" ht="12.75">
      <c r="A55" s="169" t="s">
        <v>15</v>
      </c>
      <c r="G55" s="953">
        <f>IF(OR(FIO="",'общие сведения'!D47=""),"",'общие сведения'!D47)</f>
      </c>
      <c r="H55" s="953"/>
      <c r="I55" s="170"/>
      <c r="J55" s="170"/>
      <c r="K55" s="962" t="s">
        <v>16</v>
      </c>
      <c r="L55" s="962"/>
      <c r="M55" s="962"/>
      <c r="N55" s="962"/>
      <c r="O55" s="962"/>
      <c r="P55" s="961">
        <f>'общие сведения'!K47</f>
      </c>
      <c r="Q55" s="961"/>
      <c r="R55" s="961"/>
      <c r="S55" s="961"/>
      <c r="X55" s="460"/>
      <c r="AH55" s="377"/>
    </row>
    <row r="56" spans="1:34" ht="12.75">
      <c r="A56" s="169" t="s">
        <v>18</v>
      </c>
      <c r="G56" s="953">
        <f>IF(OR(FIO="",'общие сведения'!D49=""),"",'общие сведения'!D49)</f>
      </c>
      <c r="H56" s="953"/>
      <c r="I56" s="170"/>
      <c r="J56" s="170"/>
      <c r="X56" s="460"/>
      <c r="AH56" s="377"/>
    </row>
    <row r="57" spans="1:34" ht="12.75">
      <c r="A57" s="169" t="s">
        <v>19</v>
      </c>
      <c r="C57" s="214">
        <f>IF(FIO="","",'общие сведения'!B51)</f>
      </c>
      <c r="D57" s="211"/>
      <c r="E57" s="211"/>
      <c r="F57" s="211"/>
      <c r="G57" s="211"/>
      <c r="H57" s="211"/>
      <c r="I57" s="173"/>
      <c r="J57" s="173"/>
      <c r="X57" s="460"/>
      <c r="Z57" s="394"/>
      <c r="AH57" s="377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460"/>
      <c r="AH58" s="377"/>
    </row>
    <row r="59" spans="1:34" ht="12.75" customHeight="1">
      <c r="A59" s="954">
        <f>IF(FIO="","",CLEAN('общие сведения'!L54&amp;" "&amp;'общие сведения'!L58&amp;" "&amp;'общие сведения'!L62))</f>
      </c>
      <c r="B59" s="954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4"/>
      <c r="R59" s="954"/>
      <c r="S59" s="954"/>
      <c r="T59" s="954"/>
      <c r="U59" s="954"/>
      <c r="V59" s="954"/>
      <c r="W59" s="954"/>
      <c r="X59" s="460"/>
      <c r="Y59" s="362"/>
      <c r="Z59" s="368" t="s">
        <v>459</v>
      </c>
      <c r="AH59" s="377"/>
    </row>
    <row r="60" spans="1:34" ht="12.75" customHeight="1">
      <c r="A60" s="954"/>
      <c r="B60" s="954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4"/>
      <c r="R60" s="954"/>
      <c r="S60" s="954"/>
      <c r="T60" s="954"/>
      <c r="U60" s="954"/>
      <c r="V60" s="954"/>
      <c r="W60" s="954"/>
      <c r="X60" s="460"/>
      <c r="Y60" s="362"/>
      <c r="Z60" s="368" t="s">
        <v>460</v>
      </c>
      <c r="AH60" s="377"/>
    </row>
    <row r="61" spans="1:34" ht="12.75" customHeight="1">
      <c r="A61" s="954"/>
      <c r="B61" s="954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4"/>
      <c r="R61" s="954"/>
      <c r="S61" s="954"/>
      <c r="T61" s="954"/>
      <c r="U61" s="954"/>
      <c r="V61" s="954"/>
      <c r="W61" s="954"/>
      <c r="X61" s="460"/>
      <c r="Y61" s="362"/>
      <c r="Z61" s="368" t="s">
        <v>461</v>
      </c>
      <c r="AH61" s="377"/>
    </row>
    <row r="62" spans="1:34" ht="12.75" customHeight="1">
      <c r="A62" s="954"/>
      <c r="B62" s="954"/>
      <c r="C62" s="954"/>
      <c r="D62" s="954"/>
      <c r="E62" s="954"/>
      <c r="F62" s="954"/>
      <c r="G62" s="954"/>
      <c r="H62" s="954"/>
      <c r="I62" s="954"/>
      <c r="J62" s="954"/>
      <c r="K62" s="954"/>
      <c r="L62" s="954"/>
      <c r="M62" s="954"/>
      <c r="N62" s="954"/>
      <c r="O62" s="954"/>
      <c r="P62" s="954"/>
      <c r="Q62" s="954"/>
      <c r="R62" s="954"/>
      <c r="S62" s="954"/>
      <c r="T62" s="954"/>
      <c r="U62" s="954"/>
      <c r="V62" s="954"/>
      <c r="W62" s="954"/>
      <c r="X62" s="460"/>
      <c r="Y62" s="395" t="s">
        <v>25</v>
      </c>
      <c r="Z62" s="396" t="s">
        <v>462</v>
      </c>
      <c r="AH62" s="377"/>
    </row>
    <row r="63" spans="1:65" ht="12.75">
      <c r="A63" s="954"/>
      <c r="B63" s="954"/>
      <c r="C63" s="954"/>
      <c r="D63" s="954"/>
      <c r="E63" s="954"/>
      <c r="F63" s="954"/>
      <c r="G63" s="954"/>
      <c r="H63" s="954"/>
      <c r="I63" s="954"/>
      <c r="J63" s="954"/>
      <c r="K63" s="954"/>
      <c r="L63" s="954"/>
      <c r="M63" s="954"/>
      <c r="N63" s="954"/>
      <c r="O63" s="954"/>
      <c r="P63" s="954"/>
      <c r="Q63" s="954"/>
      <c r="R63" s="954"/>
      <c r="S63" s="954"/>
      <c r="T63" s="954"/>
      <c r="U63" s="954"/>
      <c r="V63" s="954"/>
      <c r="W63" s="954"/>
      <c r="X63" s="460"/>
      <c r="Y63" s="217"/>
      <c r="Z63" s="217"/>
      <c r="AA63" s="217"/>
      <c r="AB63" s="217"/>
      <c r="AC63" s="217"/>
      <c r="AD63" s="217"/>
      <c r="AE63" s="217"/>
      <c r="AF63" s="217"/>
      <c r="AG63" s="217"/>
      <c r="AH63" s="37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184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460"/>
      <c r="Y64" s="217"/>
      <c r="Z64" s="217"/>
      <c r="AA64" s="217"/>
      <c r="AB64" s="217"/>
      <c r="AC64" s="217"/>
      <c r="AD64" s="217"/>
      <c r="AE64" s="217"/>
      <c r="AF64" s="217"/>
      <c r="AG64" s="217"/>
      <c r="AH64" s="37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сведения'!A78</f>
        <v>Курсы повышения квалификации</v>
      </c>
      <c r="B65" s="217"/>
      <c r="C65" s="217"/>
      <c r="D65" s="217"/>
      <c r="E65" s="217"/>
      <c r="F65" s="217"/>
      <c r="G65" s="217"/>
      <c r="K65" s="1020">
        <f>IF(FIO="","",'общие сведения'!G78)</f>
      </c>
      <c r="L65" s="1020"/>
      <c r="M65" s="169" t="s">
        <v>185</v>
      </c>
      <c r="N65" s="326"/>
      <c r="T65" s="177"/>
      <c r="U65" s="177"/>
      <c r="V65" s="177"/>
      <c r="W65" s="217"/>
      <c r="X65" s="460"/>
      <c r="Y65" s="217"/>
      <c r="Z65" s="217"/>
      <c r="AA65" s="217"/>
      <c r="AB65" s="217"/>
      <c r="AC65" s="217"/>
      <c r="AD65" s="217"/>
      <c r="AE65" s="217"/>
      <c r="AF65" s="217"/>
      <c r="AG65" s="217"/>
      <c r="AH65" s="37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460"/>
      <c r="Y66" s="217"/>
      <c r="Z66" s="217"/>
      <c r="AA66" s="217"/>
      <c r="AB66" s="217"/>
      <c r="AC66" s="217"/>
      <c r="AD66" s="217"/>
      <c r="AE66" s="217"/>
      <c r="AF66" s="217"/>
      <c r="AG66" s="217"/>
      <c r="AH66" s="37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954">
        <f>IF(FIO="","",CLEAN('общие сведения'!L73))</f>
      </c>
      <c r="B67" s="954"/>
      <c r="C67" s="954"/>
      <c r="D67" s="954"/>
      <c r="E67" s="954"/>
      <c r="F67" s="954"/>
      <c r="G67" s="954"/>
      <c r="H67" s="954"/>
      <c r="I67" s="954"/>
      <c r="J67" s="954"/>
      <c r="K67" s="954"/>
      <c r="L67" s="954"/>
      <c r="M67" s="954"/>
      <c r="N67" s="954"/>
      <c r="O67" s="954"/>
      <c r="P67" s="954"/>
      <c r="Q67" s="954"/>
      <c r="R67" s="954"/>
      <c r="S67" s="954"/>
      <c r="T67" s="954"/>
      <c r="U67" s="954"/>
      <c r="V67" s="954"/>
      <c r="W67" s="954"/>
      <c r="X67" s="460"/>
      <c r="AH67" s="377"/>
    </row>
    <row r="68" spans="1:34" ht="12.75" customHeight="1">
      <c r="A68" s="954"/>
      <c r="B68" s="954"/>
      <c r="C68" s="954"/>
      <c r="D68" s="954"/>
      <c r="E68" s="954"/>
      <c r="F68" s="954"/>
      <c r="G68" s="954"/>
      <c r="H68" s="954"/>
      <c r="I68" s="954"/>
      <c r="J68" s="954"/>
      <c r="K68" s="954"/>
      <c r="L68" s="954"/>
      <c r="M68" s="954"/>
      <c r="N68" s="954"/>
      <c r="O68" s="954"/>
      <c r="P68" s="954"/>
      <c r="Q68" s="954"/>
      <c r="R68" s="954"/>
      <c r="S68" s="954"/>
      <c r="T68" s="954"/>
      <c r="U68" s="954"/>
      <c r="V68" s="954"/>
      <c r="W68" s="954"/>
      <c r="X68" s="460"/>
      <c r="AH68" s="377"/>
    </row>
    <row r="69" spans="1:34" ht="12.75" customHeight="1">
      <c r="A69" s="954"/>
      <c r="B69" s="954"/>
      <c r="C69" s="954"/>
      <c r="D69" s="954"/>
      <c r="E69" s="954"/>
      <c r="F69" s="954"/>
      <c r="G69" s="954"/>
      <c r="H69" s="954"/>
      <c r="I69" s="954"/>
      <c r="J69" s="954"/>
      <c r="K69" s="954"/>
      <c r="L69" s="954"/>
      <c r="M69" s="954"/>
      <c r="N69" s="954"/>
      <c r="O69" s="954"/>
      <c r="P69" s="954"/>
      <c r="Q69" s="954"/>
      <c r="R69" s="954"/>
      <c r="S69" s="954"/>
      <c r="T69" s="954"/>
      <c r="U69" s="954"/>
      <c r="V69" s="954"/>
      <c r="W69" s="954"/>
      <c r="X69" s="460"/>
      <c r="AH69" s="377"/>
    </row>
    <row r="70" spans="1:34" ht="12.75" customHeight="1">
      <c r="A70" s="954"/>
      <c r="B70" s="954"/>
      <c r="C70" s="954"/>
      <c r="D70" s="954"/>
      <c r="E70" s="954"/>
      <c r="F70" s="954"/>
      <c r="G70" s="954"/>
      <c r="H70" s="954"/>
      <c r="I70" s="954"/>
      <c r="J70" s="954"/>
      <c r="K70" s="954"/>
      <c r="L70" s="954"/>
      <c r="M70" s="954"/>
      <c r="N70" s="954"/>
      <c r="O70" s="954"/>
      <c r="P70" s="954"/>
      <c r="Q70" s="954"/>
      <c r="R70" s="954"/>
      <c r="S70" s="954"/>
      <c r="T70" s="954"/>
      <c r="U70" s="954"/>
      <c r="V70" s="954"/>
      <c r="W70" s="954"/>
      <c r="X70" s="460"/>
      <c r="AH70" s="377"/>
    </row>
    <row r="71" spans="1:34" ht="21" customHeight="1">
      <c r="A71" s="175" t="s">
        <v>186</v>
      </c>
      <c r="X71" s="460"/>
      <c r="AD71" s="368" t="str">
        <f>'общие сведения'!O10</f>
        <v>порог для __первая__старший вожатый</v>
      </c>
      <c r="AH71" s="377"/>
    </row>
    <row r="72" spans="1:34" ht="12.75">
      <c r="A72" s="955" t="s">
        <v>187</v>
      </c>
      <c r="B72" s="955"/>
      <c r="C72" s="955"/>
      <c r="D72" s="955"/>
      <c r="E72" s="955"/>
      <c r="F72" s="955"/>
      <c r="G72" s="955"/>
      <c r="H72" s="955"/>
      <c r="I72" s="955"/>
      <c r="J72" s="955"/>
      <c r="K72" s="955"/>
      <c r="L72" s="955"/>
      <c r="M72" s="955"/>
      <c r="N72" s="955"/>
      <c r="O72" s="955"/>
      <c r="P72" s="955"/>
      <c r="Q72" s="955"/>
      <c r="R72" s="955"/>
      <c r="S72" s="955"/>
      <c r="T72" s="955"/>
      <c r="U72" s="955"/>
      <c r="V72" s="955"/>
      <c r="W72" s="955"/>
      <c r="X72" s="460"/>
      <c r="AB72" s="362" t="s">
        <v>411</v>
      </c>
      <c r="AC72" s="5">
        <f>z_kateg</f>
      </c>
      <c r="AD72" s="294">
        <f>'общие сведения'!P10</f>
        <v>160</v>
      </c>
      <c r="AH72" s="377"/>
    </row>
    <row r="73" spans="1:34" ht="12.75">
      <c r="A73" s="955"/>
      <c r="B73" s="955"/>
      <c r="C73" s="955"/>
      <c r="D73" s="955"/>
      <c r="E73" s="955"/>
      <c r="F73" s="955"/>
      <c r="G73" s="955"/>
      <c r="H73" s="955"/>
      <c r="I73" s="955"/>
      <c r="J73" s="955"/>
      <c r="K73" s="955"/>
      <c r="L73" s="955"/>
      <c r="M73" s="955"/>
      <c r="N73" s="955"/>
      <c r="O73" s="955"/>
      <c r="P73" s="955"/>
      <c r="Q73" s="955"/>
      <c r="R73" s="955"/>
      <c r="S73" s="955"/>
      <c r="T73" s="955"/>
      <c r="U73" s="955"/>
      <c r="V73" s="955"/>
      <c r="W73" s="955"/>
      <c r="X73" s="460"/>
      <c r="AB73" s="362" t="s">
        <v>350</v>
      </c>
      <c r="AC73" s="5" t="str">
        <f>AB165</f>
        <v>нет</v>
      </c>
      <c r="AH73" s="377"/>
    </row>
    <row r="74" spans="1:34" ht="12.75">
      <c r="A74" s="955"/>
      <c r="B74" s="955"/>
      <c r="C74" s="955"/>
      <c r="D74" s="955"/>
      <c r="E74" s="955"/>
      <c r="F74" s="955"/>
      <c r="G74" s="955"/>
      <c r="H74" s="955"/>
      <c r="I74" s="955"/>
      <c r="J74" s="955"/>
      <c r="K74" s="955"/>
      <c r="L74" s="955"/>
      <c r="M74" s="955"/>
      <c r="N74" s="955"/>
      <c r="O74" s="955"/>
      <c r="P74" s="955"/>
      <c r="Q74" s="955"/>
      <c r="R74" s="955"/>
      <c r="S74" s="955"/>
      <c r="T74" s="955"/>
      <c r="U74" s="955"/>
      <c r="V74" s="955"/>
      <c r="W74" s="955"/>
      <c r="X74" s="460"/>
      <c r="AH74" s="377"/>
    </row>
    <row r="75" spans="1:65" ht="12.75" customHeight="1">
      <c r="A75" s="169" t="s">
        <v>188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460"/>
      <c r="Y75" s="179"/>
      <c r="Z75" s="251"/>
      <c r="AB75" s="251" t="s">
        <v>210</v>
      </c>
      <c r="AC75" s="251" t="s">
        <v>278</v>
      </c>
      <c r="AD75" s="293"/>
      <c r="AE75" s="321" t="s">
        <v>403</v>
      </c>
      <c r="AH75" s="377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189</v>
      </c>
      <c r="B76" s="169" t="str">
        <f>B112</f>
        <v>Продуктивность образовательной деятельности</v>
      </c>
      <c r="T76" s="12"/>
      <c r="U76" s="245">
        <f>IF(FIO="","",итого_1)</f>
      </c>
      <c r="V76" s="141"/>
      <c r="W76" s="174" t="s">
        <v>190</v>
      </c>
      <c r="X76" s="460"/>
      <c r="Z76" s="361" t="s">
        <v>404</v>
      </c>
      <c r="AB76" s="269">
        <f>AB112</f>
        <v>100</v>
      </c>
      <c r="AC76" s="322">
        <f>AC112</f>
        <v>60</v>
      </c>
      <c r="AD76" s="190"/>
      <c r="AE76" s="251" t="b">
        <f>U76&gt;=AC76</f>
        <v>1</v>
      </c>
      <c r="AF76" s="5">
        <f>IF(AG76&gt;=AC76,1,0)</f>
        <v>0</v>
      </c>
      <c r="AH76" s="377"/>
    </row>
    <row r="77" spans="1:34" ht="12.75">
      <c r="A77" s="247" t="s">
        <v>191</v>
      </c>
      <c r="B77" s="169" t="str">
        <f>B168</f>
        <v>Продуктивность деятельности педагогического работника по развитию обучающихся/ воспитанников</v>
      </c>
      <c r="T77" s="12"/>
      <c r="U77" s="241">
        <f>IF(FIO="","",итого_2)</f>
      </c>
      <c r="V77" s="324"/>
      <c r="W77" s="174" t="s">
        <v>190</v>
      </c>
      <c r="X77" s="460"/>
      <c r="Z77" s="361" t="s">
        <v>405</v>
      </c>
      <c r="AB77" s="269">
        <f>AB168</f>
        <v>470</v>
      </c>
      <c r="AC77" s="322">
        <f>AC168</f>
        <v>40</v>
      </c>
      <c r="AD77" s="190"/>
      <c r="AE77" s="251" t="b">
        <f>U77&gt;=AC77</f>
        <v>1</v>
      </c>
      <c r="AF77" s="5">
        <f>IF(AG77&gt;=AC77,1,0)</f>
        <v>0</v>
      </c>
      <c r="AH77" s="377"/>
    </row>
    <row r="78" spans="1:34" ht="12.75">
      <c r="A78" s="247" t="s">
        <v>192</v>
      </c>
      <c r="B78" s="169" t="str">
        <f>B264</f>
        <v>Продуктивность личного вклада педагогического работника в повышение качества образования</v>
      </c>
      <c r="T78" s="12"/>
      <c r="U78" s="242">
        <f>IF(FIO="","",итого_3)</f>
      </c>
      <c r="V78" s="324"/>
      <c r="W78" s="174" t="s">
        <v>190</v>
      </c>
      <c r="X78" s="460"/>
      <c r="Z78" s="361" t="s">
        <v>406</v>
      </c>
      <c r="AB78" s="269">
        <f>AB265</f>
        <v>740</v>
      </c>
      <c r="AC78" s="322">
        <f>AC265</f>
        <v>100</v>
      </c>
      <c r="AD78" s="190"/>
      <c r="AE78" s="251" t="b">
        <f>U78&gt;=AC78</f>
        <v>1</v>
      </c>
      <c r="AF78" s="5">
        <f>IF(AG78&gt;=AC78,1,0)</f>
        <v>0</v>
      </c>
      <c r="AH78" s="377"/>
    </row>
    <row r="79" spans="1:34" ht="12.75">
      <c r="A79" s="247" t="s">
        <v>193</v>
      </c>
      <c r="B79" s="169" t="str">
        <f>B425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2"/>
      <c r="U79" s="242">
        <f>IF(FIO="","",итого_4)</f>
      </c>
      <c r="V79" s="324"/>
      <c r="W79" s="174" t="s">
        <v>190</v>
      </c>
      <c r="X79" s="460"/>
      <c r="Z79" s="361" t="s">
        <v>407</v>
      </c>
      <c r="AB79" s="269">
        <f>AB425</f>
        <v>250</v>
      </c>
      <c r="AC79" s="269">
        <f>AC425</f>
        <v>0</v>
      </c>
      <c r="AD79" s="303"/>
      <c r="AE79" s="251" t="b">
        <f>U79&gt;=AC79</f>
        <v>1</v>
      </c>
      <c r="AF79" s="5">
        <f>IF(AG79&gt;=AC79,1,0)</f>
        <v>1</v>
      </c>
      <c r="AH79" s="377"/>
    </row>
    <row r="80" spans="20:34" ht="3" customHeight="1">
      <c r="T80" s="12"/>
      <c r="U80" s="247"/>
      <c r="V80" s="247"/>
      <c r="W80" s="180"/>
      <c r="X80" s="460"/>
      <c r="AD80" s="293"/>
      <c r="AH80" s="377"/>
    </row>
    <row r="81" spans="2:34" ht="12.75">
      <c r="B81" s="222" t="s">
        <v>275</v>
      </c>
      <c r="T81" s="12"/>
      <c r="U81" s="239">
        <f>IF(FIO="","",Всего)</f>
      </c>
      <c r="V81" s="170"/>
      <c r="W81" s="174" t="s">
        <v>190</v>
      </c>
      <c r="X81" s="460"/>
      <c r="Y81" s="371" t="s">
        <v>413</v>
      </c>
      <c r="Z81" s="372">
        <f>IF(FIO="","",SUM(U76:U79))</f>
      </c>
      <c r="AA81" s="5" t="s">
        <v>412</v>
      </c>
      <c r="AB81" s="269">
        <f>SUM(AB76:AB79)</f>
        <v>1560</v>
      </c>
      <c r="AC81" s="322">
        <f>SUM(AC76:AC79)</f>
        <v>200</v>
      </c>
      <c r="AD81" s="304"/>
      <c r="AE81" s="167" t="str">
        <f>IF(AF81&gt;3," СООТВЕТСТВУЕТ","  НЕ СООТВЕТСТВУЕТ")</f>
        <v>  НЕ СООТВЕТСТВУЕТ</v>
      </c>
      <c r="AF81" s="5">
        <f>SUM(AF76:AF80)</f>
        <v>1</v>
      </c>
      <c r="AH81" s="377"/>
    </row>
    <row r="82" spans="23:34" ht="12" customHeight="1">
      <c r="W82" s="179"/>
      <c r="X82" s="460"/>
      <c r="Y82" s="369" t="s">
        <v>502</v>
      </c>
      <c r="Z82" s="370">
        <f>IF(H84="","",IF(Всего&gt;=AD72," СООТВЕТСТВУЕТ","  НЕ СООТВЕТСТВУЕТ"))</f>
      </c>
      <c r="AD82" s="301"/>
      <c r="AE82" s="301"/>
      <c r="AF82" s="301"/>
      <c r="AH82" s="377"/>
    </row>
    <row r="83" spans="1:34" s="168" customFormat="1" ht="12.75">
      <c r="A83" s="340" t="s">
        <v>454</v>
      </c>
      <c r="B83" s="333"/>
      <c r="C83" s="333"/>
      <c r="D83" s="333"/>
      <c r="E83" s="402"/>
      <c r="F83" s="402"/>
      <c r="G83" s="341"/>
      <c r="H83" s="341"/>
      <c r="I83" s="341"/>
      <c r="K83" s="403">
        <f>IF(OR(Всего="",FIO=""),"",Y35&amp;Z82)</f>
      </c>
      <c r="L83" s="341"/>
      <c r="M83" s="341"/>
      <c r="N83" s="341"/>
      <c r="O83" s="341"/>
      <c r="P83" s="346"/>
      <c r="Q83" s="334"/>
      <c r="R83" s="334"/>
      <c r="S83" s="375" t="s">
        <v>455</v>
      </c>
      <c r="V83" s="342"/>
      <c r="X83" s="460"/>
      <c r="Z83" s="370" t="str">
        <f>CONCATENATE(A83,K83,S83)</f>
        <v>Уровень квалификации    требованиям,  </v>
      </c>
      <c r="AG83" s="5"/>
      <c r="AH83" s="377"/>
    </row>
    <row r="84" spans="1:34" s="168" customFormat="1" ht="12.75">
      <c r="A84" s="340" t="s">
        <v>453</v>
      </c>
      <c r="B84" s="333"/>
      <c r="C84" s="333"/>
      <c r="D84" s="333"/>
      <c r="E84" s="333"/>
      <c r="G84" s="373"/>
      <c r="H84" s="240">
        <f>IF(OR(G56="",FIO="",Z81=""),"",IF(G56="первая","первой","высшей"))</f>
      </c>
      <c r="I84" s="246"/>
      <c r="J84" s="246"/>
      <c r="K84" s="343" t="s">
        <v>452</v>
      </c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X84" s="460"/>
      <c r="Z84" s="370" t="str">
        <f>CONCATENATE(A84,H84,K84)</f>
        <v>предъявляемым к заявленной      квалификационной категории. </v>
      </c>
      <c r="AH84" s="377"/>
    </row>
    <row r="85" spans="1:34" s="168" customFormat="1" ht="9.75" customHeight="1">
      <c r="A85" s="257"/>
      <c r="X85" s="460"/>
      <c r="AH85" s="377"/>
    </row>
    <row r="86" spans="1:34" s="168" customFormat="1" ht="12.75">
      <c r="A86" s="638" t="s">
        <v>659</v>
      </c>
      <c r="X86" s="460"/>
      <c r="Y86" s="167" t="s">
        <v>254</v>
      </c>
      <c r="Z86" s="377">
        <f>'общие сведения'!A127</f>
      </c>
      <c r="AH86" s="377"/>
    </row>
    <row r="87" spans="1:34" ht="12.75" customHeight="1">
      <c r="A87" s="641"/>
      <c r="B87" s="641"/>
      <c r="C87" s="641"/>
      <c r="D87" s="967">
        <f>IF(OR(FIO="",ISERR(Z86)),"",Z86)</f>
      </c>
      <c r="E87" s="967"/>
      <c r="F87" s="967"/>
      <c r="G87" s="967"/>
      <c r="H87" s="967"/>
      <c r="I87" s="967"/>
      <c r="J87" s="967"/>
      <c r="K87" s="967"/>
      <c r="L87" s="967"/>
      <c r="M87" s="967"/>
      <c r="N87" s="967"/>
      <c r="O87" s="967"/>
      <c r="P87" s="967"/>
      <c r="Q87" s="967"/>
      <c r="R87" s="967"/>
      <c r="S87" s="967"/>
      <c r="T87" s="967"/>
      <c r="U87" s="967"/>
      <c r="V87" s="967"/>
      <c r="W87" s="967"/>
      <c r="X87" s="460"/>
      <c r="AH87" s="377"/>
    </row>
    <row r="88" spans="1:34" ht="12.75" customHeight="1">
      <c r="A88" s="641"/>
      <c r="B88" s="641"/>
      <c r="C88" s="641"/>
      <c r="D88" s="967"/>
      <c r="E88" s="967"/>
      <c r="F88" s="967"/>
      <c r="G88" s="967"/>
      <c r="H88" s="967"/>
      <c r="I88" s="967"/>
      <c r="J88" s="967"/>
      <c r="K88" s="967"/>
      <c r="L88" s="967"/>
      <c r="M88" s="967"/>
      <c r="N88" s="967"/>
      <c r="O88" s="967"/>
      <c r="P88" s="967"/>
      <c r="Q88" s="967"/>
      <c r="R88" s="967"/>
      <c r="S88" s="967"/>
      <c r="T88" s="967"/>
      <c r="U88" s="967"/>
      <c r="V88" s="967"/>
      <c r="W88" s="967"/>
      <c r="X88" s="460"/>
      <c r="AH88" s="377"/>
    </row>
    <row r="89" spans="1:34" ht="3.75" customHeight="1">
      <c r="A89" s="641"/>
      <c r="B89" s="641"/>
      <c r="C89" s="641"/>
      <c r="D89" s="967"/>
      <c r="E89" s="967"/>
      <c r="F89" s="967"/>
      <c r="G89" s="967"/>
      <c r="H89" s="967"/>
      <c r="I89" s="967"/>
      <c r="J89" s="967"/>
      <c r="K89" s="967"/>
      <c r="L89" s="967"/>
      <c r="M89" s="967"/>
      <c r="N89" s="967"/>
      <c r="O89" s="967"/>
      <c r="P89" s="967"/>
      <c r="Q89" s="967"/>
      <c r="R89" s="967"/>
      <c r="S89" s="967"/>
      <c r="T89" s="967"/>
      <c r="U89" s="967"/>
      <c r="V89" s="967"/>
      <c r="W89" s="967"/>
      <c r="X89" s="460"/>
      <c r="AH89" s="377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460"/>
      <c r="AH90" s="377"/>
    </row>
    <row r="91" spans="1:56" ht="15.75" customHeight="1">
      <c r="A91" s="171" t="s">
        <v>51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460"/>
      <c r="Y91" s="181"/>
      <c r="Z91" s="181"/>
      <c r="AA91" s="181"/>
      <c r="AB91" s="181"/>
      <c r="AC91" s="181"/>
      <c r="AD91" s="181"/>
      <c r="AE91" s="181"/>
      <c r="AF91" s="181"/>
      <c r="AG91" s="181"/>
      <c r="AH91" s="377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196</v>
      </c>
      <c r="B92" s="171"/>
      <c r="C92" s="182"/>
      <c r="D92" s="183"/>
      <c r="E92" s="183"/>
      <c r="F92" s="183"/>
      <c r="G92" s="171"/>
      <c r="H92" s="915">
        <f>IF(FIO&lt;&gt;"",IF('общие сведения'!M110&lt;&gt;"",'общие сведения'!M110,""),"")</f>
      </c>
      <c r="I92" s="915"/>
      <c r="J92" s="915"/>
      <c r="K92" s="915"/>
      <c r="L92" s="915"/>
      <c r="M92" s="915"/>
      <c r="N92" s="915"/>
      <c r="O92" s="915"/>
      <c r="P92" s="915"/>
      <c r="Q92" s="915"/>
      <c r="R92" s="915"/>
      <c r="S92" s="915"/>
      <c r="T92" s="915"/>
      <c r="U92" s="915"/>
      <c r="V92" s="915"/>
      <c r="W92" s="915"/>
      <c r="X92" s="460"/>
      <c r="Y92" s="181"/>
      <c r="Z92" s="181"/>
      <c r="AA92" s="181"/>
      <c r="AB92" s="181"/>
      <c r="AC92" s="181"/>
      <c r="AD92" s="181"/>
      <c r="AE92" s="181"/>
      <c r="AF92" s="181"/>
      <c r="AG92" s="181"/>
      <c r="AH92" s="377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276</v>
      </c>
      <c r="B93" s="171"/>
      <c r="C93" s="171"/>
      <c r="D93" s="12"/>
      <c r="E93" s="203"/>
      <c r="F93" s="203"/>
      <c r="G93" s="203"/>
      <c r="H93" s="966" t="s">
        <v>55</v>
      </c>
      <c r="I93" s="966"/>
      <c r="J93" s="966"/>
      <c r="K93" s="966"/>
      <c r="L93" s="966"/>
      <c r="M93" s="966"/>
      <c r="N93" s="966"/>
      <c r="O93" s="966"/>
      <c r="P93" s="966"/>
      <c r="Q93" s="966"/>
      <c r="R93" s="966"/>
      <c r="S93" s="966"/>
      <c r="T93" s="966"/>
      <c r="U93" s="966"/>
      <c r="V93" s="966"/>
      <c r="W93" s="966"/>
      <c r="X93" s="460"/>
      <c r="Y93" s="203"/>
      <c r="Z93" s="203"/>
      <c r="AA93" s="203"/>
      <c r="AB93" s="203"/>
      <c r="AC93" s="203"/>
      <c r="AD93" s="203"/>
      <c r="AE93" s="203"/>
      <c r="AF93" s="203"/>
      <c r="AG93" s="203"/>
      <c r="AH93" s="377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277</v>
      </c>
      <c r="B94" s="171"/>
      <c r="C94" s="171"/>
      <c r="D94" s="183"/>
      <c r="E94" s="183"/>
      <c r="F94" s="183"/>
      <c r="G94" s="171"/>
      <c r="H94" s="915">
        <f>IF(FIO&lt;&gt;"",IF('общие сведения'!M112&lt;&gt;"",'общие сведения'!M112,""),"")</f>
      </c>
      <c r="I94" s="915"/>
      <c r="J94" s="915"/>
      <c r="K94" s="915"/>
      <c r="L94" s="915"/>
      <c r="M94" s="915"/>
      <c r="N94" s="915"/>
      <c r="O94" s="915"/>
      <c r="P94" s="915"/>
      <c r="Q94" s="915"/>
      <c r="R94" s="915"/>
      <c r="S94" s="915"/>
      <c r="T94" s="915"/>
      <c r="U94" s="915"/>
      <c r="V94" s="915"/>
      <c r="W94" s="915"/>
      <c r="X94" s="460"/>
      <c r="AH94" s="377"/>
    </row>
    <row r="95" spans="8:34" ht="14.25">
      <c r="H95" s="966" t="s">
        <v>55</v>
      </c>
      <c r="I95" s="966"/>
      <c r="J95" s="966"/>
      <c r="K95" s="966"/>
      <c r="L95" s="966"/>
      <c r="M95" s="966"/>
      <c r="N95" s="966"/>
      <c r="O95" s="966"/>
      <c r="P95" s="966"/>
      <c r="Q95" s="966"/>
      <c r="R95" s="966"/>
      <c r="S95" s="966"/>
      <c r="T95" s="966"/>
      <c r="U95" s="966"/>
      <c r="V95" s="966"/>
      <c r="W95" s="966"/>
      <c r="X95" s="460"/>
      <c r="AH95" s="377"/>
    </row>
    <row r="96" spans="4:34" ht="12.75">
      <c r="D96" s="139"/>
      <c r="E96" s="139"/>
      <c r="F96" s="139"/>
      <c r="H96" s="915">
        <f>IF(FIO&lt;&gt;"",IF('общие сведения'!M114&lt;&gt;"",'общие сведения'!M114,""),"")</f>
      </c>
      <c r="I96" s="915"/>
      <c r="J96" s="915"/>
      <c r="K96" s="915"/>
      <c r="L96" s="915"/>
      <c r="M96" s="915"/>
      <c r="N96" s="915"/>
      <c r="O96" s="915"/>
      <c r="P96" s="915"/>
      <c r="Q96" s="915"/>
      <c r="R96" s="915"/>
      <c r="S96" s="915"/>
      <c r="T96" s="915"/>
      <c r="U96" s="915"/>
      <c r="V96" s="915"/>
      <c r="W96" s="915"/>
      <c r="X96" s="460"/>
      <c r="AH96" s="377"/>
    </row>
    <row r="97" spans="8:34" ht="14.25">
      <c r="H97" s="951" t="s">
        <v>55</v>
      </c>
      <c r="I97" s="951"/>
      <c r="J97" s="951"/>
      <c r="K97" s="951"/>
      <c r="L97" s="951"/>
      <c r="M97" s="951"/>
      <c r="N97" s="951"/>
      <c r="O97" s="951"/>
      <c r="P97" s="951"/>
      <c r="Q97" s="951"/>
      <c r="R97" s="951"/>
      <c r="S97" s="951"/>
      <c r="T97" s="951"/>
      <c r="U97" s="951"/>
      <c r="V97" s="951"/>
      <c r="W97" s="951"/>
      <c r="X97" s="460"/>
      <c r="AH97" s="377"/>
    </row>
    <row r="98" spans="4:34" ht="12.75" hidden="1">
      <c r="D98" s="139"/>
      <c r="E98" s="139"/>
      <c r="F98" s="139"/>
      <c r="H98" s="915">
        <f>IF(FIO&lt;&gt;"",IF('общие сведения'!M116&lt;&gt;"",'общие сведения'!M116,""),"")</f>
      </c>
      <c r="I98" s="915"/>
      <c r="J98" s="915"/>
      <c r="K98" s="915"/>
      <c r="L98" s="915"/>
      <c r="M98" s="915"/>
      <c r="N98" s="915"/>
      <c r="O98" s="915"/>
      <c r="P98" s="915"/>
      <c r="Q98" s="915"/>
      <c r="R98" s="915"/>
      <c r="S98" s="915"/>
      <c r="T98" s="915"/>
      <c r="U98" s="915"/>
      <c r="V98" s="915"/>
      <c r="W98" s="915"/>
      <c r="X98" s="460"/>
      <c r="AH98" s="377"/>
    </row>
    <row r="99" spans="8:34" ht="14.25" hidden="1">
      <c r="H99" s="951" t="s">
        <v>55</v>
      </c>
      <c r="I99" s="951"/>
      <c r="J99" s="951"/>
      <c r="K99" s="951"/>
      <c r="L99" s="951"/>
      <c r="M99" s="951"/>
      <c r="N99" s="951"/>
      <c r="O99" s="951"/>
      <c r="P99" s="951"/>
      <c r="Q99" s="951"/>
      <c r="R99" s="951"/>
      <c r="S99" s="951"/>
      <c r="T99" s="951"/>
      <c r="U99" s="951"/>
      <c r="V99" s="951"/>
      <c r="W99" s="951"/>
      <c r="X99" s="460"/>
      <c r="AH99" s="377"/>
    </row>
    <row r="100" spans="2:40" ht="12.75">
      <c r="B100" s="171"/>
      <c r="C100" s="834" t="s">
        <v>197</v>
      </c>
      <c r="D100" s="834"/>
      <c r="E100" s="834"/>
      <c r="F100" s="834"/>
      <c r="G100" s="834"/>
      <c r="H100" s="834"/>
      <c r="I100" s="834"/>
      <c r="J100" s="834"/>
      <c r="K100" s="834"/>
      <c r="L100" s="835" t="str">
        <f>'общие сведения'!K119</f>
        <v>« __ » ___________  20__ г.</v>
      </c>
      <c r="M100" s="835"/>
      <c r="N100" s="835"/>
      <c r="O100" s="835"/>
      <c r="P100" s="835"/>
      <c r="Q100" s="835"/>
      <c r="R100" s="835"/>
      <c r="S100" s="325"/>
      <c r="T100" s="325"/>
      <c r="U100" s="325"/>
      <c r="V100" s="325"/>
      <c r="X100" s="460"/>
      <c r="AH100" s="377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60"/>
      <c r="Y101" s="171"/>
      <c r="Z101" s="171"/>
      <c r="AA101" s="171"/>
      <c r="AH101" s="377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60"/>
      <c r="Y102" s="171"/>
      <c r="Z102" s="171"/>
      <c r="AA102" s="171"/>
      <c r="AH102" s="377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60"/>
      <c r="AH103" s="377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60"/>
      <c r="AH104" s="377"/>
    </row>
    <row r="105" spans="4:34" ht="15">
      <c r="D105" s="224" t="s">
        <v>198</v>
      </c>
      <c r="X105" s="460"/>
      <c r="AH105" s="377"/>
    </row>
    <row r="106" spans="24:34" ht="3" customHeight="1">
      <c r="X106" s="460"/>
      <c r="AH106" s="377"/>
    </row>
    <row r="107" spans="2:34" ht="12.75">
      <c r="B107" s="5" t="s">
        <v>199</v>
      </c>
      <c r="F107" s="139"/>
      <c r="G107" s="139"/>
      <c r="H107" s="184"/>
      <c r="I107" s="184"/>
      <c r="J107" s="223"/>
      <c r="K107" s="223"/>
      <c r="L107" s="969">
        <f>IF(FIO&lt;&gt;"",FIO,"")</f>
      </c>
      <c r="M107" s="969"/>
      <c r="N107" s="969"/>
      <c r="O107" s="969"/>
      <c r="P107" s="969"/>
      <c r="Q107" s="969"/>
      <c r="R107" s="969"/>
      <c r="S107" s="969"/>
      <c r="T107" s="969"/>
      <c r="U107" s="969"/>
      <c r="V107" s="969"/>
      <c r="W107" s="969"/>
      <c r="X107" s="460"/>
      <c r="AH107" s="377"/>
    </row>
    <row r="108" spans="6:34" ht="12.75" customHeight="1">
      <c r="F108" s="990" t="s">
        <v>200</v>
      </c>
      <c r="G108" s="990"/>
      <c r="H108" s="990"/>
      <c r="I108" s="990"/>
      <c r="J108" s="186"/>
      <c r="L108" s="951" t="s">
        <v>55</v>
      </c>
      <c r="M108" s="951"/>
      <c r="N108" s="951"/>
      <c r="O108" s="951"/>
      <c r="P108" s="951"/>
      <c r="Q108" s="951"/>
      <c r="R108" s="951"/>
      <c r="S108" s="951"/>
      <c r="T108" s="327"/>
      <c r="U108" s="327"/>
      <c r="V108" s="327"/>
      <c r="W108" s="327"/>
      <c r="X108" s="460"/>
      <c r="AH108" s="377"/>
    </row>
    <row r="109" spans="7:34" ht="5.25" customHeight="1">
      <c r="G109" s="185"/>
      <c r="P109" s="203"/>
      <c r="Q109" s="203"/>
      <c r="R109" s="203"/>
      <c r="X109" s="460"/>
      <c r="AH109" s="377"/>
    </row>
    <row r="110" spans="1:34" ht="13.5">
      <c r="A110" s="958" t="s">
        <v>201</v>
      </c>
      <c r="B110" s="958"/>
      <c r="C110" s="958"/>
      <c r="D110" s="958"/>
      <c r="E110" s="958"/>
      <c r="F110" s="958"/>
      <c r="G110" s="958"/>
      <c r="H110" s="958"/>
      <c r="I110" s="958"/>
      <c r="J110" s="958"/>
      <c r="K110" s="958"/>
      <c r="L110" s="958"/>
      <c r="M110" s="958"/>
      <c r="N110" s="958"/>
      <c r="O110" s="958"/>
      <c r="P110" s="958"/>
      <c r="Q110" s="958"/>
      <c r="R110" s="958"/>
      <c r="S110" s="958"/>
      <c r="T110" s="958"/>
      <c r="U110" s="958"/>
      <c r="V110" s="958"/>
      <c r="W110" s="958"/>
      <c r="X110" s="460"/>
      <c r="Y110" s="187" t="s">
        <v>209</v>
      </c>
      <c r="AA110" s="251" t="s">
        <v>279</v>
      </c>
      <c r="AB110" s="251" t="s">
        <v>210</v>
      </c>
      <c r="AC110" s="284" t="s">
        <v>278</v>
      </c>
      <c r="AE110" s="321" t="s">
        <v>403</v>
      </c>
      <c r="AH110" s="377"/>
    </row>
    <row r="111" spans="1:45" ht="9" customHeight="1">
      <c r="A111" s="260"/>
      <c r="X111" s="460"/>
      <c r="AH111" s="377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3.5">
      <c r="A112" s="250" t="s">
        <v>260</v>
      </c>
      <c r="B112" s="260" t="s">
        <v>202</v>
      </c>
      <c r="X112" s="460"/>
      <c r="Y112" s="295" t="str">
        <f>A112</f>
        <v>1. </v>
      </c>
      <c r="Z112" s="271" t="s">
        <v>281</v>
      </c>
      <c r="AA112" s="268">
        <f>SUM(Y114:Y166)</f>
        <v>0</v>
      </c>
      <c r="AB112" s="269">
        <f>SUM(Z114:Z166)</f>
        <v>100</v>
      </c>
      <c r="AC112" s="322">
        <f>SUM(AA114:AA166)</f>
        <v>60</v>
      </c>
      <c r="AE112" s="321" t="b">
        <f>итого_1&gt;=AC112</f>
        <v>0</v>
      </c>
      <c r="AH112" s="377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811" t="s">
        <v>203</v>
      </c>
      <c r="B113" s="811"/>
      <c r="C113" s="811"/>
      <c r="D113" s="811"/>
      <c r="E113" s="811"/>
      <c r="F113" s="811"/>
      <c r="G113" s="811"/>
      <c r="H113" s="811"/>
      <c r="I113" s="811"/>
      <c r="J113" s="811"/>
      <c r="K113" s="811"/>
      <c r="L113" s="811"/>
      <c r="M113" s="811"/>
      <c r="N113" s="811"/>
      <c r="O113" s="811"/>
      <c r="P113" s="811"/>
      <c r="Q113" s="811"/>
      <c r="R113" s="811"/>
      <c r="S113" s="811"/>
      <c r="T113" s="811"/>
      <c r="U113" s="811"/>
      <c r="V113" s="811"/>
      <c r="W113" s="811"/>
      <c r="X113" s="460"/>
      <c r="AG113" s="12"/>
      <c r="AH113" s="377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204" t="s">
        <v>204</v>
      </c>
      <c r="B114" s="839" t="s">
        <v>719</v>
      </c>
      <c r="C114" s="839"/>
      <c r="D114" s="839"/>
      <c r="E114" s="839"/>
      <c r="F114" s="839"/>
      <c r="G114" s="839"/>
      <c r="H114" s="839"/>
      <c r="I114" s="839"/>
      <c r="J114" s="839"/>
      <c r="K114" s="839"/>
      <c r="L114" s="839"/>
      <c r="M114" s="839"/>
      <c r="N114" s="839"/>
      <c r="O114" s="839"/>
      <c r="P114" s="839"/>
      <c r="Q114" s="839"/>
      <c r="R114" s="839"/>
      <c r="S114" s="839"/>
      <c r="T114" s="839"/>
      <c r="U114" s="839"/>
      <c r="V114" s="839"/>
      <c r="W114" s="839"/>
      <c r="X114" s="460"/>
      <c r="Z114" s="12"/>
      <c r="AA114" s="12"/>
      <c r="AB114" s="12"/>
      <c r="AC114" s="12"/>
      <c r="AD114" s="12"/>
      <c r="AG114" s="12"/>
      <c r="AH114" s="377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61"/>
      <c r="B115" s="839"/>
      <c r="C115" s="839"/>
      <c r="D115" s="839"/>
      <c r="E115" s="839"/>
      <c r="F115" s="839"/>
      <c r="G115" s="839"/>
      <c r="H115" s="839"/>
      <c r="I115" s="839"/>
      <c r="J115" s="839"/>
      <c r="K115" s="839"/>
      <c r="L115" s="839"/>
      <c r="M115" s="839"/>
      <c r="N115" s="839"/>
      <c r="O115" s="839"/>
      <c r="P115" s="839"/>
      <c r="Q115" s="839"/>
      <c r="R115" s="839"/>
      <c r="S115" s="839"/>
      <c r="T115" s="839"/>
      <c r="U115" s="839"/>
      <c r="V115" s="839"/>
      <c r="W115" s="839"/>
      <c r="X115" s="460"/>
      <c r="Z115" s="12"/>
      <c r="AA115" s="12"/>
      <c r="AB115" s="12"/>
      <c r="AC115" s="12"/>
      <c r="AD115" s="12"/>
      <c r="AG115" s="12"/>
      <c r="AH115" s="377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839"/>
      <c r="C116" s="839"/>
      <c r="D116" s="839"/>
      <c r="E116" s="839"/>
      <c r="F116" s="839"/>
      <c r="G116" s="839"/>
      <c r="H116" s="839"/>
      <c r="I116" s="839"/>
      <c r="J116" s="839"/>
      <c r="K116" s="839"/>
      <c r="L116" s="839"/>
      <c r="M116" s="839"/>
      <c r="N116" s="839"/>
      <c r="O116" s="839"/>
      <c r="P116" s="839"/>
      <c r="Q116" s="839"/>
      <c r="R116" s="839"/>
      <c r="S116" s="839"/>
      <c r="T116" s="839"/>
      <c r="U116" s="839"/>
      <c r="V116" s="839"/>
      <c r="W116" s="839"/>
      <c r="X116" s="460"/>
      <c r="Z116" s="12"/>
      <c r="AA116" s="12"/>
      <c r="AB116" s="12"/>
      <c r="AC116" s="12"/>
      <c r="AD116" s="12"/>
      <c r="AG116" s="12"/>
      <c r="AH116" s="377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61"/>
      <c r="B117" s="839"/>
      <c r="C117" s="839"/>
      <c r="D117" s="839"/>
      <c r="E117" s="839"/>
      <c r="F117" s="839"/>
      <c r="G117" s="839"/>
      <c r="H117" s="839"/>
      <c r="I117" s="839"/>
      <c r="J117" s="839"/>
      <c r="K117" s="839"/>
      <c r="L117" s="839"/>
      <c r="M117" s="839"/>
      <c r="N117" s="839"/>
      <c r="O117" s="839"/>
      <c r="P117" s="839"/>
      <c r="Q117" s="839"/>
      <c r="R117" s="839"/>
      <c r="S117" s="839"/>
      <c r="T117" s="839"/>
      <c r="U117" s="839"/>
      <c r="V117" s="839"/>
      <c r="W117" s="839"/>
      <c r="X117" s="460"/>
      <c r="Z117" s="12"/>
      <c r="AA117" s="12"/>
      <c r="AB117" s="12"/>
      <c r="AC117" s="12"/>
      <c r="AD117" s="12"/>
      <c r="AE117" s="12"/>
      <c r="AF117" s="12"/>
      <c r="AG117" s="12"/>
      <c r="AH117" s="377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204" t="s">
        <v>204</v>
      </c>
      <c r="B118" s="839" t="s">
        <v>717</v>
      </c>
      <c r="C118" s="839"/>
      <c r="D118" s="839"/>
      <c r="E118" s="839"/>
      <c r="F118" s="839"/>
      <c r="G118" s="839"/>
      <c r="H118" s="839"/>
      <c r="I118" s="839"/>
      <c r="J118" s="839"/>
      <c r="K118" s="839"/>
      <c r="L118" s="839"/>
      <c r="M118" s="839"/>
      <c r="N118" s="839"/>
      <c r="O118" s="839"/>
      <c r="P118" s="839"/>
      <c r="Q118" s="839"/>
      <c r="R118" s="839"/>
      <c r="S118" s="839"/>
      <c r="T118" s="839"/>
      <c r="U118" s="839"/>
      <c r="V118" s="839"/>
      <c r="W118" s="839"/>
      <c r="X118" s="460"/>
      <c r="Z118" s="12"/>
      <c r="AA118" s="12"/>
      <c r="AB118" s="12"/>
      <c r="AC118" s="12"/>
      <c r="AD118" s="12"/>
      <c r="AE118" s="12"/>
      <c r="AF118" s="12"/>
      <c r="AG118" s="12"/>
      <c r="AH118" s="377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839"/>
      <c r="C119" s="839"/>
      <c r="D119" s="839"/>
      <c r="E119" s="839"/>
      <c r="F119" s="839"/>
      <c r="G119" s="839"/>
      <c r="H119" s="839"/>
      <c r="I119" s="839"/>
      <c r="J119" s="839"/>
      <c r="K119" s="839"/>
      <c r="L119" s="839"/>
      <c r="M119" s="839"/>
      <c r="N119" s="839"/>
      <c r="O119" s="839"/>
      <c r="P119" s="839"/>
      <c r="Q119" s="839"/>
      <c r="R119" s="839"/>
      <c r="S119" s="839"/>
      <c r="T119" s="839"/>
      <c r="U119" s="839"/>
      <c r="V119" s="839"/>
      <c r="W119" s="839"/>
      <c r="X119" s="460"/>
      <c r="Z119" s="12"/>
      <c r="AA119" s="12"/>
      <c r="AB119" s="12"/>
      <c r="AC119" s="12"/>
      <c r="AD119" s="12"/>
      <c r="AE119" s="12"/>
      <c r="AF119" s="12"/>
      <c r="AG119" s="12"/>
      <c r="AH119" s="377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839"/>
      <c r="C120" s="839"/>
      <c r="D120" s="839"/>
      <c r="E120" s="839"/>
      <c r="F120" s="839"/>
      <c r="G120" s="839"/>
      <c r="H120" s="839"/>
      <c r="I120" s="839"/>
      <c r="J120" s="839"/>
      <c r="K120" s="839"/>
      <c r="L120" s="839"/>
      <c r="M120" s="839"/>
      <c r="N120" s="839"/>
      <c r="O120" s="839"/>
      <c r="P120" s="839"/>
      <c r="Q120" s="839"/>
      <c r="R120" s="839"/>
      <c r="S120" s="839"/>
      <c r="T120" s="839"/>
      <c r="U120" s="839"/>
      <c r="V120" s="839"/>
      <c r="W120" s="839"/>
      <c r="X120" s="460"/>
      <c r="Z120" s="12"/>
      <c r="AA120" s="12"/>
      <c r="AB120" s="12"/>
      <c r="AC120" s="12"/>
      <c r="AD120" s="12"/>
      <c r="AE120" s="12"/>
      <c r="AF120" s="12"/>
      <c r="AG120" s="12"/>
      <c r="AH120" s="377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839"/>
      <c r="C121" s="839"/>
      <c r="D121" s="839"/>
      <c r="E121" s="839"/>
      <c r="F121" s="839"/>
      <c r="G121" s="839"/>
      <c r="H121" s="839"/>
      <c r="I121" s="839"/>
      <c r="J121" s="839"/>
      <c r="K121" s="839"/>
      <c r="L121" s="839"/>
      <c r="M121" s="839"/>
      <c r="N121" s="839"/>
      <c r="O121" s="839"/>
      <c r="P121" s="839"/>
      <c r="Q121" s="839"/>
      <c r="R121" s="839"/>
      <c r="S121" s="839"/>
      <c r="T121" s="839"/>
      <c r="U121" s="839"/>
      <c r="V121" s="839"/>
      <c r="W121" s="839"/>
      <c r="X121" s="460"/>
      <c r="AG121" s="227"/>
      <c r="AH121" s="377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340</v>
      </c>
      <c r="B122" s="970" t="s">
        <v>667</v>
      </c>
      <c r="C122" s="970"/>
      <c r="D122" s="970"/>
      <c r="E122" s="970"/>
      <c r="F122" s="970"/>
      <c r="G122" s="970"/>
      <c r="H122" s="970"/>
      <c r="I122" s="970"/>
      <c r="J122" s="970"/>
      <c r="K122" s="970"/>
      <c r="L122" s="970"/>
      <c r="M122" s="970"/>
      <c r="N122" s="970"/>
      <c r="O122" s="970"/>
      <c r="P122" s="970"/>
      <c r="Q122" s="970"/>
      <c r="R122" s="970"/>
      <c r="S122" s="970"/>
      <c r="T122" s="970"/>
      <c r="U122" s="970"/>
      <c r="V122" s="970"/>
      <c r="W122" s="970"/>
      <c r="X122" s="460"/>
      <c r="AH122" s="377"/>
    </row>
    <row r="123" spans="2:34" ht="12.75">
      <c r="B123" s="970"/>
      <c r="C123" s="970"/>
      <c r="D123" s="970"/>
      <c r="E123" s="970"/>
      <c r="F123" s="970"/>
      <c r="G123" s="970"/>
      <c r="H123" s="970"/>
      <c r="I123" s="970"/>
      <c r="J123" s="970"/>
      <c r="K123" s="970"/>
      <c r="L123" s="970"/>
      <c r="M123" s="970"/>
      <c r="N123" s="970"/>
      <c r="O123" s="970"/>
      <c r="P123" s="970"/>
      <c r="Q123" s="970"/>
      <c r="R123" s="970"/>
      <c r="S123" s="970"/>
      <c r="T123" s="970"/>
      <c r="U123" s="970"/>
      <c r="V123" s="970"/>
      <c r="W123" s="970"/>
      <c r="X123" s="460"/>
      <c r="AH123" s="377"/>
    </row>
    <row r="124" spans="2:45" ht="3" customHeight="1"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460"/>
      <c r="AG124" s="227"/>
      <c r="AH124" s="377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840" t="s">
        <v>205</v>
      </c>
      <c r="B125" s="991" t="s">
        <v>18</v>
      </c>
      <c r="C125" s="991"/>
      <c r="D125" s="991"/>
      <c r="E125" s="798" t="s">
        <v>206</v>
      </c>
      <c r="F125" s="799"/>
      <c r="G125" s="799"/>
      <c r="H125" s="799"/>
      <c r="I125" s="799"/>
      <c r="J125" s="799"/>
      <c r="K125" s="799"/>
      <c r="L125" s="799"/>
      <c r="M125" s="799"/>
      <c r="N125" s="800"/>
      <c r="O125" s="971" t="s">
        <v>207</v>
      </c>
      <c r="P125" s="971"/>
      <c r="Q125" s="971"/>
      <c r="R125" s="971"/>
      <c r="S125" s="971"/>
      <c r="T125" s="971"/>
      <c r="U125" s="971"/>
      <c r="V125" s="971"/>
      <c r="W125" s="971"/>
      <c r="X125" s="460"/>
      <c r="AG125" s="197"/>
      <c r="AH125" s="377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841"/>
      <c r="B126" s="991"/>
      <c r="C126" s="991"/>
      <c r="D126" s="991"/>
      <c r="E126" s="801"/>
      <c r="F126" s="802"/>
      <c r="G126" s="802"/>
      <c r="H126" s="802"/>
      <c r="I126" s="802"/>
      <c r="J126" s="802"/>
      <c r="K126" s="802"/>
      <c r="L126" s="802"/>
      <c r="M126" s="802"/>
      <c r="N126" s="803"/>
      <c r="O126" s="971"/>
      <c r="P126" s="971"/>
      <c r="Q126" s="971"/>
      <c r="R126" s="971"/>
      <c r="S126" s="971"/>
      <c r="T126" s="971"/>
      <c r="U126" s="971"/>
      <c r="V126" s="971"/>
      <c r="W126" s="971"/>
      <c r="X126" s="460"/>
      <c r="AG126" s="12"/>
      <c r="AH126" s="377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842"/>
      <c r="B127" s="991"/>
      <c r="C127" s="991"/>
      <c r="D127" s="991"/>
      <c r="E127" s="804"/>
      <c r="F127" s="805"/>
      <c r="G127" s="805"/>
      <c r="H127" s="805"/>
      <c r="I127" s="805"/>
      <c r="J127" s="805"/>
      <c r="K127" s="805"/>
      <c r="L127" s="805"/>
      <c r="M127" s="805"/>
      <c r="N127" s="806"/>
      <c r="O127" s="821">
        <v>0</v>
      </c>
      <c r="P127" s="823"/>
      <c r="Q127" s="823"/>
      <c r="R127" s="822"/>
      <c r="S127" s="887" t="s">
        <v>230</v>
      </c>
      <c r="T127" s="887"/>
      <c r="U127" s="887"/>
      <c r="V127" s="887"/>
      <c r="W127" s="887"/>
      <c r="X127" s="460"/>
      <c r="AG127" s="12"/>
      <c r="AH127" s="377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>
      <c r="A128" s="254" t="s">
        <v>341</v>
      </c>
      <c r="B128" s="772" t="s">
        <v>342</v>
      </c>
      <c r="C128" s="773"/>
      <c r="D128" s="773"/>
      <c r="E128" s="772" t="s">
        <v>699</v>
      </c>
      <c r="F128" s="773"/>
      <c r="G128" s="773"/>
      <c r="H128" s="773"/>
      <c r="I128" s="773"/>
      <c r="J128" s="773"/>
      <c r="K128" s="773"/>
      <c r="L128" s="773"/>
      <c r="M128" s="773"/>
      <c r="N128" s="774"/>
      <c r="O128" s="933" t="s">
        <v>691</v>
      </c>
      <c r="P128" s="934"/>
      <c r="Q128" s="934"/>
      <c r="R128" s="935"/>
      <c r="S128" s="933" t="s">
        <v>688</v>
      </c>
      <c r="T128" s="934"/>
      <c r="U128" s="934"/>
      <c r="V128" s="934"/>
      <c r="W128" s="935"/>
      <c r="X128" s="460"/>
      <c r="AG128" s="12"/>
      <c r="AH128" s="377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>
      <c r="A129" s="255"/>
      <c r="B129" s="775"/>
      <c r="C129" s="776"/>
      <c r="D129" s="776"/>
      <c r="E129" s="775"/>
      <c r="F129" s="776"/>
      <c r="G129" s="776"/>
      <c r="H129" s="776"/>
      <c r="I129" s="776"/>
      <c r="J129" s="776"/>
      <c r="K129" s="776"/>
      <c r="L129" s="776"/>
      <c r="M129" s="776"/>
      <c r="N129" s="777"/>
      <c r="O129" s="936"/>
      <c r="P129" s="937"/>
      <c r="Q129" s="937"/>
      <c r="R129" s="938"/>
      <c r="S129" s="936"/>
      <c r="T129" s="937"/>
      <c r="U129" s="937"/>
      <c r="V129" s="937"/>
      <c r="W129" s="938"/>
      <c r="X129" s="460"/>
      <c r="AG129" s="12"/>
      <c r="AH129" s="377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2.75">
      <c r="A130" s="255"/>
      <c r="B130" s="775"/>
      <c r="C130" s="776"/>
      <c r="D130" s="776"/>
      <c r="E130" s="775"/>
      <c r="F130" s="776"/>
      <c r="G130" s="776"/>
      <c r="H130" s="776"/>
      <c r="I130" s="776"/>
      <c r="J130" s="776"/>
      <c r="K130" s="776"/>
      <c r="L130" s="776"/>
      <c r="M130" s="776"/>
      <c r="N130" s="777"/>
      <c r="O130" s="936"/>
      <c r="P130" s="937"/>
      <c r="Q130" s="937"/>
      <c r="R130" s="938"/>
      <c r="S130" s="936"/>
      <c r="T130" s="937"/>
      <c r="U130" s="937"/>
      <c r="V130" s="937"/>
      <c r="W130" s="938"/>
      <c r="X130" s="460"/>
      <c r="AG130" s="12"/>
      <c r="AH130" s="377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2.75">
      <c r="A131" s="255"/>
      <c r="B131" s="775"/>
      <c r="C131" s="776"/>
      <c r="D131" s="776"/>
      <c r="E131" s="775"/>
      <c r="F131" s="776"/>
      <c r="G131" s="776"/>
      <c r="H131" s="776"/>
      <c r="I131" s="776"/>
      <c r="J131" s="776"/>
      <c r="K131" s="776"/>
      <c r="L131" s="776"/>
      <c r="M131" s="776"/>
      <c r="N131" s="777"/>
      <c r="O131" s="936"/>
      <c r="P131" s="937"/>
      <c r="Q131" s="937"/>
      <c r="R131" s="938"/>
      <c r="S131" s="936"/>
      <c r="T131" s="937"/>
      <c r="U131" s="937"/>
      <c r="V131" s="937"/>
      <c r="W131" s="938"/>
      <c r="X131" s="460"/>
      <c r="AG131" s="12"/>
      <c r="AH131" s="377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>
      <c r="A132" s="255"/>
      <c r="B132" s="775"/>
      <c r="C132" s="776"/>
      <c r="D132" s="776"/>
      <c r="E132" s="775"/>
      <c r="F132" s="776"/>
      <c r="G132" s="776"/>
      <c r="H132" s="776"/>
      <c r="I132" s="776"/>
      <c r="J132" s="776"/>
      <c r="K132" s="776"/>
      <c r="L132" s="776"/>
      <c r="M132" s="776"/>
      <c r="N132" s="777"/>
      <c r="O132" s="936"/>
      <c r="P132" s="937"/>
      <c r="Q132" s="937"/>
      <c r="R132" s="938"/>
      <c r="S132" s="936"/>
      <c r="T132" s="937"/>
      <c r="U132" s="937"/>
      <c r="V132" s="937"/>
      <c r="W132" s="938"/>
      <c r="X132" s="460"/>
      <c r="AG132" s="12"/>
      <c r="AH132" s="377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0.5" customHeight="1">
      <c r="A133" s="255"/>
      <c r="B133" s="775"/>
      <c r="C133" s="776"/>
      <c r="D133" s="776"/>
      <c r="E133" s="846" t="s">
        <v>668</v>
      </c>
      <c r="F133" s="847"/>
      <c r="G133" s="847"/>
      <c r="H133" s="847"/>
      <c r="I133" s="847"/>
      <c r="J133" s="847"/>
      <c r="K133" s="847"/>
      <c r="L133" s="847"/>
      <c r="M133" s="847"/>
      <c r="N133" s="848"/>
      <c r="O133" s="936"/>
      <c r="P133" s="937"/>
      <c r="Q133" s="937"/>
      <c r="R133" s="938"/>
      <c r="S133" s="936"/>
      <c r="T133" s="937"/>
      <c r="U133" s="937"/>
      <c r="V133" s="937"/>
      <c r="W133" s="938"/>
      <c r="X133" s="460"/>
      <c r="AG133" s="12"/>
      <c r="AH133" s="377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255"/>
      <c r="B134" s="775"/>
      <c r="C134" s="776"/>
      <c r="D134" s="776"/>
      <c r="E134" s="846"/>
      <c r="F134" s="847"/>
      <c r="G134" s="847"/>
      <c r="H134" s="847"/>
      <c r="I134" s="847"/>
      <c r="J134" s="847"/>
      <c r="K134" s="847"/>
      <c r="L134" s="847"/>
      <c r="M134" s="847"/>
      <c r="N134" s="848"/>
      <c r="O134" s="936"/>
      <c r="P134" s="937"/>
      <c r="Q134" s="937"/>
      <c r="R134" s="938"/>
      <c r="S134" s="992" t="s">
        <v>339</v>
      </c>
      <c r="T134" s="992"/>
      <c r="U134" s="992"/>
      <c r="V134" s="992"/>
      <c r="W134" s="993"/>
      <c r="X134" s="460"/>
      <c r="AC134" s="347" t="s">
        <v>400</v>
      </c>
      <c r="AG134" s="12"/>
      <c r="AH134" s="377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2.75" customHeight="1">
      <c r="A135" s="255"/>
      <c r="B135" s="775"/>
      <c r="C135" s="776"/>
      <c r="D135" s="776"/>
      <c r="E135" s="846"/>
      <c r="F135" s="847"/>
      <c r="G135" s="847"/>
      <c r="H135" s="847"/>
      <c r="I135" s="847"/>
      <c r="J135" s="847"/>
      <c r="K135" s="847"/>
      <c r="L135" s="847"/>
      <c r="M135" s="847"/>
      <c r="N135" s="848"/>
      <c r="O135" s="936"/>
      <c r="P135" s="937"/>
      <c r="Q135" s="937"/>
      <c r="R135" s="938"/>
      <c r="S135" s="931" t="s">
        <v>261</v>
      </c>
      <c r="T135" s="931"/>
      <c r="U135" s="931"/>
      <c r="V135" s="931"/>
      <c r="W135" s="932"/>
      <c r="X135" s="460"/>
      <c r="AC135" s="349">
        <f>G56</f>
      </c>
      <c r="AG135" s="12"/>
      <c r="AH135" s="377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2.75" customHeight="1">
      <c r="A136" s="255"/>
      <c r="B136" s="775"/>
      <c r="C136" s="776"/>
      <c r="D136" s="776"/>
      <c r="E136" s="846"/>
      <c r="F136" s="847"/>
      <c r="G136" s="847"/>
      <c r="H136" s="847"/>
      <c r="I136" s="847"/>
      <c r="J136" s="847"/>
      <c r="K136" s="847"/>
      <c r="L136" s="847"/>
      <c r="M136" s="847"/>
      <c r="N136" s="848"/>
      <c r="O136" s="939"/>
      <c r="P136" s="940"/>
      <c r="Q136" s="940"/>
      <c r="R136" s="941"/>
      <c r="S136" s="931" t="s">
        <v>262</v>
      </c>
      <c r="T136" s="931"/>
      <c r="U136" s="931"/>
      <c r="V136" s="931"/>
      <c r="W136" s="932"/>
      <c r="X136" s="460"/>
      <c r="Y136" s="190" t="str">
        <f>IF(AC135="первая","да","нет")</f>
        <v>нет</v>
      </c>
      <c r="AG136" s="12"/>
      <c r="AH136" s="377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5" customHeight="1">
      <c r="A137" s="255"/>
      <c r="B137" s="775"/>
      <c r="C137" s="776"/>
      <c r="D137" s="776"/>
      <c r="E137" s="846"/>
      <c r="F137" s="847"/>
      <c r="G137" s="847"/>
      <c r="H137" s="847"/>
      <c r="I137" s="847"/>
      <c r="J137" s="847"/>
      <c r="K137" s="847"/>
      <c r="L137" s="847"/>
      <c r="M137" s="847"/>
      <c r="N137" s="848"/>
      <c r="O137" s="790" t="str">
        <f>IF(Y137=0,IF(OR(FIO="",Y136="нет"),"-",0),"")</f>
        <v>-</v>
      </c>
      <c r="P137" s="790"/>
      <c r="Q137" s="790"/>
      <c r="R137" s="790"/>
      <c r="S137" s="825"/>
      <c r="T137" s="825"/>
      <c r="U137" s="825"/>
      <c r="V137" s="825"/>
      <c r="W137" s="826"/>
      <c r="X137" s="460"/>
      <c r="Y137" s="267">
        <f>SUM(S137)</f>
        <v>0</v>
      </c>
      <c r="AC137" s="347" t="s">
        <v>399</v>
      </c>
      <c r="AD137" s="294" t="str">
        <f>IF(z_kateg="первая",AD138,"-")</f>
        <v>-</v>
      </c>
      <c r="AE137" s="294" t="str">
        <f>IF(z_kateg="первая",AE138,"-")</f>
        <v>-</v>
      </c>
      <c r="AF137" s="294" t="str">
        <f>IF(z_kateg="первая",AF138,"-")</f>
        <v>-</v>
      </c>
      <c r="AG137" s="294" t="str">
        <f>IF(z_kateg="первая",AG138,"-")</f>
        <v>-</v>
      </c>
      <c r="AH137" s="377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5" customHeight="1">
      <c r="A138" s="256"/>
      <c r="B138" s="778"/>
      <c r="C138" s="779"/>
      <c r="D138" s="779"/>
      <c r="E138" s="849"/>
      <c r="F138" s="850"/>
      <c r="G138" s="850"/>
      <c r="H138" s="850"/>
      <c r="I138" s="850"/>
      <c r="J138" s="850"/>
      <c r="K138" s="850"/>
      <c r="L138" s="850"/>
      <c r="M138" s="850"/>
      <c r="N138" s="851"/>
      <c r="O138" s="790"/>
      <c r="P138" s="790"/>
      <c r="Q138" s="790"/>
      <c r="R138" s="790"/>
      <c r="S138" s="831"/>
      <c r="T138" s="831"/>
      <c r="U138" s="831"/>
      <c r="V138" s="831"/>
      <c r="W138" s="832"/>
      <c r="X138" s="460"/>
      <c r="AC138" s="348" t="b">
        <f>OR(S137=0,$S$137="-")</f>
        <v>1</v>
      </c>
      <c r="AD138" s="5">
        <v>10</v>
      </c>
      <c r="AE138" s="5">
        <v>60</v>
      </c>
      <c r="AF138" s="5">
        <v>80</v>
      </c>
      <c r="AG138" s="12">
        <v>100</v>
      </c>
      <c r="AH138" s="377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12.75" customHeight="1">
      <c r="A139" s="254" t="s">
        <v>343</v>
      </c>
      <c r="B139" s="772" t="s">
        <v>344</v>
      </c>
      <c r="C139" s="773"/>
      <c r="D139" s="773"/>
      <c r="E139" s="772" t="s">
        <v>700</v>
      </c>
      <c r="F139" s="773"/>
      <c r="G139" s="773"/>
      <c r="H139" s="773"/>
      <c r="I139" s="773"/>
      <c r="J139" s="773"/>
      <c r="K139" s="773"/>
      <c r="L139" s="773"/>
      <c r="M139" s="773"/>
      <c r="N139" s="774"/>
      <c r="O139" s="933" t="s">
        <v>690</v>
      </c>
      <c r="P139" s="934"/>
      <c r="Q139" s="934"/>
      <c r="R139" s="935"/>
      <c r="S139" s="933" t="s">
        <v>689</v>
      </c>
      <c r="T139" s="934"/>
      <c r="U139" s="934"/>
      <c r="V139" s="934"/>
      <c r="W139" s="935"/>
      <c r="X139" s="460"/>
      <c r="AG139" s="12"/>
      <c r="AH139" s="377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2.75" customHeight="1">
      <c r="A140" s="255"/>
      <c r="B140" s="775"/>
      <c r="C140" s="776"/>
      <c r="D140" s="776"/>
      <c r="E140" s="775"/>
      <c r="F140" s="776"/>
      <c r="G140" s="776"/>
      <c r="H140" s="776"/>
      <c r="I140" s="776"/>
      <c r="J140" s="776"/>
      <c r="K140" s="776"/>
      <c r="L140" s="776"/>
      <c r="M140" s="776"/>
      <c r="N140" s="777"/>
      <c r="O140" s="936"/>
      <c r="P140" s="937"/>
      <c r="Q140" s="937"/>
      <c r="R140" s="938"/>
      <c r="S140" s="936"/>
      <c r="T140" s="937"/>
      <c r="U140" s="937"/>
      <c r="V140" s="937"/>
      <c r="W140" s="938"/>
      <c r="X140" s="460"/>
      <c r="AG140" s="12"/>
      <c r="AH140" s="377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5"/>
      <c r="B141" s="775"/>
      <c r="C141" s="776"/>
      <c r="D141" s="776"/>
      <c r="E141" s="775"/>
      <c r="F141" s="776"/>
      <c r="G141" s="776"/>
      <c r="H141" s="776"/>
      <c r="I141" s="776"/>
      <c r="J141" s="776"/>
      <c r="K141" s="776"/>
      <c r="L141" s="776"/>
      <c r="M141" s="776"/>
      <c r="N141" s="777"/>
      <c r="O141" s="936"/>
      <c r="P141" s="937"/>
      <c r="Q141" s="937"/>
      <c r="R141" s="938"/>
      <c r="S141" s="936"/>
      <c r="T141" s="937"/>
      <c r="U141" s="937"/>
      <c r="V141" s="937"/>
      <c r="W141" s="938"/>
      <c r="X141" s="460"/>
      <c r="AG141" s="12"/>
      <c r="AH141" s="377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5"/>
      <c r="B142" s="775"/>
      <c r="C142" s="776"/>
      <c r="D142" s="776"/>
      <c r="E142" s="775"/>
      <c r="F142" s="776"/>
      <c r="G142" s="776"/>
      <c r="H142" s="776"/>
      <c r="I142" s="776"/>
      <c r="J142" s="776"/>
      <c r="K142" s="776"/>
      <c r="L142" s="776"/>
      <c r="M142" s="776"/>
      <c r="N142" s="777"/>
      <c r="O142" s="936"/>
      <c r="P142" s="937"/>
      <c r="Q142" s="937"/>
      <c r="R142" s="938"/>
      <c r="S142" s="936"/>
      <c r="T142" s="937"/>
      <c r="U142" s="937"/>
      <c r="V142" s="937"/>
      <c r="W142" s="938"/>
      <c r="X142" s="460"/>
      <c r="AG142" s="12"/>
      <c r="AH142" s="377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2.75">
      <c r="A143" s="255"/>
      <c r="B143" s="775"/>
      <c r="C143" s="776"/>
      <c r="D143" s="776"/>
      <c r="E143" s="775"/>
      <c r="F143" s="776"/>
      <c r="G143" s="776"/>
      <c r="H143" s="776"/>
      <c r="I143" s="776"/>
      <c r="J143" s="776"/>
      <c r="K143" s="776"/>
      <c r="L143" s="776"/>
      <c r="M143" s="776"/>
      <c r="N143" s="777"/>
      <c r="O143" s="936"/>
      <c r="P143" s="937"/>
      <c r="Q143" s="937"/>
      <c r="R143" s="938"/>
      <c r="S143" s="936"/>
      <c r="T143" s="937"/>
      <c r="U143" s="937"/>
      <c r="V143" s="937"/>
      <c r="W143" s="938"/>
      <c r="X143" s="460"/>
      <c r="AG143" s="12"/>
      <c r="AH143" s="377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>
      <c r="A144" s="255"/>
      <c r="B144" s="775"/>
      <c r="C144" s="776"/>
      <c r="D144" s="776"/>
      <c r="E144" s="775"/>
      <c r="F144" s="776"/>
      <c r="G144" s="776"/>
      <c r="H144" s="776"/>
      <c r="I144" s="776"/>
      <c r="J144" s="776"/>
      <c r="K144" s="776"/>
      <c r="L144" s="776"/>
      <c r="M144" s="776"/>
      <c r="N144" s="777"/>
      <c r="O144" s="936"/>
      <c r="P144" s="937"/>
      <c r="Q144" s="937"/>
      <c r="R144" s="938"/>
      <c r="S144" s="936"/>
      <c r="T144" s="937"/>
      <c r="U144" s="937"/>
      <c r="V144" s="937"/>
      <c r="W144" s="938"/>
      <c r="X144" s="460"/>
      <c r="AG144" s="12"/>
      <c r="AH144" s="377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>
      <c r="A145" s="255"/>
      <c r="B145" s="775"/>
      <c r="C145" s="776"/>
      <c r="D145" s="776"/>
      <c r="E145" s="846" t="s">
        <v>668</v>
      </c>
      <c r="F145" s="847"/>
      <c r="G145" s="847"/>
      <c r="H145" s="847"/>
      <c r="I145" s="847"/>
      <c r="J145" s="847"/>
      <c r="K145" s="847"/>
      <c r="L145" s="847"/>
      <c r="M145" s="847"/>
      <c r="N145" s="848"/>
      <c r="O145" s="936"/>
      <c r="P145" s="937"/>
      <c r="Q145" s="937"/>
      <c r="R145" s="938"/>
      <c r="S145" s="936"/>
      <c r="T145" s="937"/>
      <c r="U145" s="937"/>
      <c r="V145" s="937"/>
      <c r="W145" s="938"/>
      <c r="X145" s="460"/>
      <c r="AG145" s="12"/>
      <c r="AH145" s="377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1:45" ht="12.75" customHeight="1">
      <c r="A146" s="255"/>
      <c r="B146" s="775"/>
      <c r="C146" s="776"/>
      <c r="D146" s="776"/>
      <c r="E146" s="846"/>
      <c r="F146" s="847"/>
      <c r="G146" s="847"/>
      <c r="H146" s="847"/>
      <c r="I146" s="847"/>
      <c r="J146" s="847"/>
      <c r="K146" s="847"/>
      <c r="L146" s="847"/>
      <c r="M146" s="847"/>
      <c r="N146" s="848"/>
      <c r="O146" s="936"/>
      <c r="P146" s="937"/>
      <c r="Q146" s="937"/>
      <c r="R146" s="938"/>
      <c r="S146" s="992" t="s">
        <v>339</v>
      </c>
      <c r="T146" s="992"/>
      <c r="U146" s="992"/>
      <c r="V146" s="992"/>
      <c r="W146" s="993"/>
      <c r="X146" s="460"/>
      <c r="AG146" s="12"/>
      <c r="AH146" s="377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</row>
    <row r="147" spans="1:45" ht="12.75" customHeight="1">
      <c r="A147" s="255"/>
      <c r="B147" s="775"/>
      <c r="C147" s="776"/>
      <c r="D147" s="776"/>
      <c r="E147" s="846"/>
      <c r="F147" s="847"/>
      <c r="G147" s="847"/>
      <c r="H147" s="847"/>
      <c r="I147" s="847"/>
      <c r="J147" s="847"/>
      <c r="K147" s="847"/>
      <c r="L147" s="847"/>
      <c r="M147" s="847"/>
      <c r="N147" s="848"/>
      <c r="O147" s="936"/>
      <c r="P147" s="937"/>
      <c r="Q147" s="937"/>
      <c r="R147" s="938"/>
      <c r="S147" s="931" t="s">
        <v>261</v>
      </c>
      <c r="T147" s="931"/>
      <c r="U147" s="931"/>
      <c r="V147" s="931"/>
      <c r="W147" s="932"/>
      <c r="X147" s="460"/>
      <c r="AG147" s="12"/>
      <c r="AH147" s="377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</row>
    <row r="148" spans="1:45" ht="12.75">
      <c r="A148" s="255"/>
      <c r="B148" s="775"/>
      <c r="C148" s="776"/>
      <c r="D148" s="776"/>
      <c r="E148" s="846"/>
      <c r="F148" s="847"/>
      <c r="G148" s="847"/>
      <c r="H148" s="847"/>
      <c r="I148" s="847"/>
      <c r="J148" s="847"/>
      <c r="K148" s="847"/>
      <c r="L148" s="847"/>
      <c r="M148" s="847"/>
      <c r="N148" s="848"/>
      <c r="O148" s="939"/>
      <c r="P148" s="940"/>
      <c r="Q148" s="940"/>
      <c r="R148" s="941"/>
      <c r="S148" s="1022" t="s">
        <v>262</v>
      </c>
      <c r="T148" s="1023"/>
      <c r="U148" s="1023"/>
      <c r="V148" s="1023"/>
      <c r="W148" s="1024"/>
      <c r="X148" s="460"/>
      <c r="Y148" s="190" t="str">
        <f>IF(AC135="высшая","да","нет")</f>
        <v>нет</v>
      </c>
      <c r="AD148" s="189"/>
      <c r="AG148" s="12"/>
      <c r="AH148" s="377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</row>
    <row r="149" spans="1:45" ht="12.75" customHeight="1">
      <c r="A149" s="255"/>
      <c r="B149" s="775"/>
      <c r="C149" s="776"/>
      <c r="D149" s="776"/>
      <c r="E149" s="846"/>
      <c r="F149" s="847"/>
      <c r="G149" s="847"/>
      <c r="H149" s="847"/>
      <c r="I149" s="847"/>
      <c r="J149" s="847"/>
      <c r="K149" s="847"/>
      <c r="L149" s="847"/>
      <c r="M149" s="847"/>
      <c r="N149" s="848"/>
      <c r="O149" s="790" t="str">
        <f>IF(Y149=0,IF(OR(FIO="",Y148="нет"),"-",0),"")</f>
        <v>-</v>
      </c>
      <c r="P149" s="790"/>
      <c r="Q149" s="790"/>
      <c r="R149" s="790"/>
      <c r="S149" s="825"/>
      <c r="T149" s="825"/>
      <c r="U149" s="825"/>
      <c r="V149" s="825"/>
      <c r="W149" s="826"/>
      <c r="X149" s="460"/>
      <c r="Y149" s="267">
        <f>SUM(S149)</f>
        <v>0</v>
      </c>
      <c r="Z149" s="251" t="s">
        <v>210</v>
      </c>
      <c r="AA149" s="252" t="s">
        <v>278</v>
      </c>
      <c r="AC149" s="347" t="s">
        <v>399</v>
      </c>
      <c r="AD149" s="294" t="str">
        <f>IF(z_kateg="высшая",AD138,"-")</f>
        <v>-</v>
      </c>
      <c r="AE149" s="294" t="str">
        <f>IF(z_kateg="высшая",AE138,"-")</f>
        <v>-</v>
      </c>
      <c r="AF149" s="294" t="str">
        <f>IF(z_kateg="высшая",AF138,"-")</f>
        <v>-</v>
      </c>
      <c r="AG149" s="294" t="str">
        <f>IF(z_kateg="высшая",AG138,"-")</f>
        <v>-</v>
      </c>
      <c r="AH149" s="377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</row>
    <row r="150" spans="1:45" ht="12.75" customHeight="1">
      <c r="A150" s="256"/>
      <c r="B150" s="778"/>
      <c r="C150" s="779"/>
      <c r="D150" s="779"/>
      <c r="E150" s="849"/>
      <c r="F150" s="850"/>
      <c r="G150" s="850"/>
      <c r="H150" s="850"/>
      <c r="I150" s="850"/>
      <c r="J150" s="850"/>
      <c r="K150" s="850"/>
      <c r="L150" s="850"/>
      <c r="M150" s="850"/>
      <c r="N150" s="851"/>
      <c r="O150" s="790"/>
      <c r="P150" s="790"/>
      <c r="Q150" s="790"/>
      <c r="R150" s="790"/>
      <c r="S150" s="831"/>
      <c r="T150" s="831"/>
      <c r="U150" s="831"/>
      <c r="V150" s="831"/>
      <c r="W150" s="832"/>
      <c r="X150" s="460"/>
      <c r="Z150" s="253">
        <v>100</v>
      </c>
      <c r="AA150" s="270">
        <v>60</v>
      </c>
      <c r="AC150" s="348" t="b">
        <f>OR(S149=0,$S$149="-")</f>
        <v>1</v>
      </c>
      <c r="AD150" s="189"/>
      <c r="AG150" s="12"/>
      <c r="AH150" s="377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</row>
    <row r="151" spans="2:45" ht="14.25" customHeight="1"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460"/>
      <c r="AG151" s="227"/>
      <c r="AH151" s="377"/>
      <c r="AI151" s="227"/>
      <c r="AJ151" s="227"/>
      <c r="AK151" s="227"/>
      <c r="AL151" s="227"/>
      <c r="AM151" s="227"/>
      <c r="AN151" s="227"/>
      <c r="AO151" s="227"/>
      <c r="AP151" s="12"/>
      <c r="AQ151" s="12"/>
      <c r="AR151" s="12"/>
      <c r="AS151" s="12"/>
    </row>
    <row r="152" spans="1:34" ht="12.75" hidden="1">
      <c r="A152" s="658" t="s">
        <v>345</v>
      </c>
      <c r="B152" s="1019" t="s">
        <v>346</v>
      </c>
      <c r="C152" s="1019"/>
      <c r="D152" s="1019"/>
      <c r="E152" s="1019"/>
      <c r="F152" s="1019"/>
      <c r="G152" s="1019"/>
      <c r="H152" s="1019"/>
      <c r="I152" s="1019"/>
      <c r="J152" s="1019"/>
      <c r="K152" s="1019"/>
      <c r="L152" s="1019"/>
      <c r="M152" s="1019"/>
      <c r="N152" s="1019"/>
      <c r="O152" s="1019"/>
      <c r="P152" s="1019"/>
      <c r="Q152" s="1019"/>
      <c r="R152" s="1019"/>
      <c r="S152" s="1019"/>
      <c r="T152" s="1019"/>
      <c r="U152" s="1019"/>
      <c r="V152" s="1019"/>
      <c r="W152" s="1019"/>
      <c r="X152" s="460"/>
      <c r="AH152" s="377"/>
    </row>
    <row r="153" spans="1:34" ht="12.75" hidden="1">
      <c r="A153" s="659"/>
      <c r="B153" s="1019"/>
      <c r="C153" s="1019"/>
      <c r="D153" s="1019"/>
      <c r="E153" s="1019"/>
      <c r="F153" s="1019"/>
      <c r="G153" s="1019"/>
      <c r="H153" s="1019"/>
      <c r="I153" s="1019"/>
      <c r="J153" s="1019"/>
      <c r="K153" s="1019"/>
      <c r="L153" s="1019"/>
      <c r="M153" s="1019"/>
      <c r="N153" s="1019"/>
      <c r="O153" s="1019"/>
      <c r="P153" s="1019"/>
      <c r="Q153" s="1019"/>
      <c r="R153" s="1019"/>
      <c r="S153" s="1019"/>
      <c r="T153" s="1019"/>
      <c r="U153" s="1019"/>
      <c r="V153" s="1019"/>
      <c r="W153" s="1019"/>
      <c r="X153" s="460"/>
      <c r="AH153" s="377"/>
    </row>
    <row r="154" spans="1:45" ht="3" customHeight="1" hidden="1">
      <c r="A154" s="659"/>
      <c r="B154" s="660"/>
      <c r="C154" s="660"/>
      <c r="D154" s="660"/>
      <c r="E154" s="660"/>
      <c r="F154" s="660"/>
      <c r="G154" s="660"/>
      <c r="H154" s="660"/>
      <c r="I154" s="660"/>
      <c r="J154" s="660"/>
      <c r="K154" s="660"/>
      <c r="L154" s="660"/>
      <c r="M154" s="660"/>
      <c r="N154" s="660"/>
      <c r="O154" s="660"/>
      <c r="P154" s="660"/>
      <c r="Q154" s="660"/>
      <c r="R154" s="660"/>
      <c r="S154" s="660"/>
      <c r="T154" s="660"/>
      <c r="U154" s="660"/>
      <c r="V154" s="660"/>
      <c r="W154" s="660"/>
      <c r="X154" s="460"/>
      <c r="AH154" s="377"/>
      <c r="AM154" s="227"/>
      <c r="AN154" s="227"/>
      <c r="AO154" s="227"/>
      <c r="AP154" s="12"/>
      <c r="AQ154" s="12"/>
      <c r="AR154" s="12"/>
      <c r="AS154" s="12"/>
    </row>
    <row r="155" spans="1:45" ht="12.75" customHeight="1" hidden="1">
      <c r="A155" s="862" t="s">
        <v>205</v>
      </c>
      <c r="B155" s="997" t="s">
        <v>206</v>
      </c>
      <c r="C155" s="998"/>
      <c r="D155" s="998"/>
      <c r="E155" s="998"/>
      <c r="F155" s="998"/>
      <c r="G155" s="998"/>
      <c r="H155" s="998"/>
      <c r="I155" s="998"/>
      <c r="J155" s="998"/>
      <c r="K155" s="998"/>
      <c r="L155" s="998"/>
      <c r="M155" s="998"/>
      <c r="N155" s="999"/>
      <c r="O155" s="1028" t="s">
        <v>207</v>
      </c>
      <c r="P155" s="1028"/>
      <c r="Q155" s="1028"/>
      <c r="R155" s="1028"/>
      <c r="S155" s="1028"/>
      <c r="T155" s="1028"/>
      <c r="U155" s="1028"/>
      <c r="V155" s="1028"/>
      <c r="W155" s="1028"/>
      <c r="X155" s="460"/>
      <c r="AH155" s="377"/>
      <c r="AM155" s="197"/>
      <c r="AN155" s="197"/>
      <c r="AO155" s="197"/>
      <c r="AP155" s="12"/>
      <c r="AQ155" s="12"/>
      <c r="AR155" s="12"/>
      <c r="AS155" s="12"/>
    </row>
    <row r="156" spans="1:45" ht="14.25" customHeight="1" hidden="1">
      <c r="A156" s="863"/>
      <c r="B156" s="1000"/>
      <c r="C156" s="1001"/>
      <c r="D156" s="1001"/>
      <c r="E156" s="1001"/>
      <c r="F156" s="1001"/>
      <c r="G156" s="1001"/>
      <c r="H156" s="1001"/>
      <c r="I156" s="1001"/>
      <c r="J156" s="1001"/>
      <c r="K156" s="1001"/>
      <c r="L156" s="1001"/>
      <c r="M156" s="1001"/>
      <c r="N156" s="1002"/>
      <c r="O156" s="1028"/>
      <c r="P156" s="1028"/>
      <c r="Q156" s="1028"/>
      <c r="R156" s="1028"/>
      <c r="S156" s="1028"/>
      <c r="T156" s="1028"/>
      <c r="U156" s="1028"/>
      <c r="V156" s="1028"/>
      <c r="W156" s="1028"/>
      <c r="X156" s="460"/>
      <c r="AB156" s="139"/>
      <c r="AH156" s="377"/>
      <c r="AM156" s="12"/>
      <c r="AN156" s="12"/>
      <c r="AO156" s="12"/>
      <c r="AP156" s="12"/>
      <c r="AQ156" s="12"/>
      <c r="AR156" s="12"/>
      <c r="AS156" s="12"/>
    </row>
    <row r="157" spans="1:45" ht="12.75" customHeight="1" hidden="1">
      <c r="A157" s="864"/>
      <c r="B157" s="1003"/>
      <c r="C157" s="1004"/>
      <c r="D157" s="1004"/>
      <c r="E157" s="1004"/>
      <c r="F157" s="1004"/>
      <c r="G157" s="1004"/>
      <c r="H157" s="1004"/>
      <c r="I157" s="1004"/>
      <c r="J157" s="1004"/>
      <c r="K157" s="1004"/>
      <c r="L157" s="1004"/>
      <c r="M157" s="1004"/>
      <c r="N157" s="1005"/>
      <c r="O157" s="1038">
        <v>0</v>
      </c>
      <c r="P157" s="1039"/>
      <c r="Q157" s="1039"/>
      <c r="R157" s="1040"/>
      <c r="S157" s="1013" t="s">
        <v>230</v>
      </c>
      <c r="T157" s="1013"/>
      <c r="U157" s="1013"/>
      <c r="V157" s="1013"/>
      <c r="W157" s="1013"/>
      <c r="X157" s="460"/>
      <c r="AB157" s="189"/>
      <c r="AG157" s="12"/>
      <c r="AH157" s="377"/>
      <c r="AM157" s="12"/>
      <c r="AN157" s="12"/>
      <c r="AO157" s="12"/>
      <c r="AP157" s="12"/>
      <c r="AQ157" s="12"/>
      <c r="AR157" s="12"/>
      <c r="AS157" s="12"/>
    </row>
    <row r="158" spans="1:45" ht="12.75" customHeight="1" hidden="1">
      <c r="A158" s="661" t="s">
        <v>347</v>
      </c>
      <c r="B158" s="1006" t="s">
        <v>311</v>
      </c>
      <c r="C158" s="1007"/>
      <c r="D158" s="1007"/>
      <c r="E158" s="1007"/>
      <c r="F158" s="1007"/>
      <c r="G158" s="1007"/>
      <c r="H158" s="1007"/>
      <c r="I158" s="1007"/>
      <c r="J158" s="1007"/>
      <c r="K158" s="1007"/>
      <c r="L158" s="1007"/>
      <c r="M158" s="1007"/>
      <c r="N158" s="1008"/>
      <c r="O158" s="917" t="s">
        <v>366</v>
      </c>
      <c r="P158" s="917"/>
      <c r="Q158" s="917"/>
      <c r="R158" s="918"/>
      <c r="S158" s="916" t="s">
        <v>348</v>
      </c>
      <c r="T158" s="917"/>
      <c r="U158" s="917"/>
      <c r="V158" s="917"/>
      <c r="W158" s="918"/>
      <c r="X158" s="460"/>
      <c r="AB158" s="189"/>
      <c r="AH158" s="377"/>
      <c r="AM158" s="12"/>
      <c r="AN158" s="12"/>
      <c r="AO158" s="12"/>
      <c r="AP158" s="12"/>
      <c r="AQ158" s="12"/>
      <c r="AR158" s="12"/>
      <c r="AS158" s="12"/>
    </row>
    <row r="159" spans="1:45" ht="15" customHeight="1" hidden="1">
      <c r="A159" s="662"/>
      <c r="B159" s="1009"/>
      <c r="C159" s="1010"/>
      <c r="D159" s="1010"/>
      <c r="E159" s="1010"/>
      <c r="F159" s="1010"/>
      <c r="G159" s="1010"/>
      <c r="H159" s="1010"/>
      <c r="I159" s="1010"/>
      <c r="J159" s="1010"/>
      <c r="K159" s="1010"/>
      <c r="L159" s="1010"/>
      <c r="M159" s="1010"/>
      <c r="N159" s="1011"/>
      <c r="O159" s="920"/>
      <c r="P159" s="920"/>
      <c r="Q159" s="920"/>
      <c r="R159" s="921"/>
      <c r="S159" s="919"/>
      <c r="T159" s="920"/>
      <c r="U159" s="920"/>
      <c r="V159" s="920"/>
      <c r="W159" s="921"/>
      <c r="X159" s="460"/>
      <c r="AB159" s="189"/>
      <c r="AH159" s="377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2.25" customHeight="1" hidden="1">
      <c r="A160" s="662"/>
      <c r="B160" s="1009"/>
      <c r="C160" s="1010"/>
      <c r="D160" s="1010"/>
      <c r="E160" s="1010"/>
      <c r="F160" s="1010"/>
      <c r="G160" s="1010"/>
      <c r="H160" s="1010"/>
      <c r="I160" s="1010"/>
      <c r="J160" s="1010"/>
      <c r="K160" s="1010"/>
      <c r="L160" s="1010"/>
      <c r="M160" s="1010"/>
      <c r="N160" s="1011"/>
      <c r="O160" s="920"/>
      <c r="P160" s="920"/>
      <c r="Q160" s="920"/>
      <c r="R160" s="921"/>
      <c r="S160" s="919"/>
      <c r="T160" s="920"/>
      <c r="U160" s="920"/>
      <c r="V160" s="920"/>
      <c r="W160" s="921"/>
      <c r="X160" s="460"/>
      <c r="AH160" s="377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2.75" customHeight="1" hidden="1">
      <c r="A161" s="662"/>
      <c r="B161" s="1016" t="s">
        <v>312</v>
      </c>
      <c r="C161" s="1017"/>
      <c r="D161" s="1017"/>
      <c r="E161" s="1017"/>
      <c r="F161" s="1017"/>
      <c r="G161" s="1017"/>
      <c r="H161" s="1017"/>
      <c r="I161" s="1017"/>
      <c r="J161" s="1017"/>
      <c r="K161" s="1017"/>
      <c r="L161" s="1017"/>
      <c r="M161" s="1017"/>
      <c r="N161" s="1018"/>
      <c r="O161" s="920"/>
      <c r="P161" s="920"/>
      <c r="Q161" s="920"/>
      <c r="R161" s="921"/>
      <c r="S161" s="922" t="s">
        <v>339</v>
      </c>
      <c r="T161" s="923"/>
      <c r="U161" s="923"/>
      <c r="V161" s="923"/>
      <c r="W161" s="924"/>
      <c r="X161" s="460"/>
      <c r="AB161" s="616"/>
      <c r="AH161" s="377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45" ht="12.75" hidden="1">
      <c r="A162" s="662"/>
      <c r="B162" s="1016"/>
      <c r="C162" s="1017"/>
      <c r="D162" s="1017"/>
      <c r="E162" s="1017"/>
      <c r="F162" s="1017"/>
      <c r="G162" s="1017"/>
      <c r="H162" s="1017"/>
      <c r="I162" s="1017"/>
      <c r="J162" s="1017"/>
      <c r="K162" s="1017"/>
      <c r="L162" s="1017"/>
      <c r="M162" s="1017"/>
      <c r="N162" s="1018"/>
      <c r="O162" s="920"/>
      <c r="P162" s="920"/>
      <c r="Q162" s="920"/>
      <c r="R162" s="921"/>
      <c r="S162" s="925" t="s">
        <v>261</v>
      </c>
      <c r="T162" s="926"/>
      <c r="U162" s="926"/>
      <c r="V162" s="926"/>
      <c r="W162" s="927"/>
      <c r="X162" s="460"/>
      <c r="AB162" s="616"/>
      <c r="AH162" s="377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</row>
    <row r="163" spans="1:45" ht="12.75" hidden="1">
      <c r="A163" s="662"/>
      <c r="B163" s="1016"/>
      <c r="C163" s="1017"/>
      <c r="D163" s="1017"/>
      <c r="E163" s="1017"/>
      <c r="F163" s="1017"/>
      <c r="G163" s="1017"/>
      <c r="H163" s="1017"/>
      <c r="I163" s="1017"/>
      <c r="J163" s="1017"/>
      <c r="K163" s="1017"/>
      <c r="L163" s="1017"/>
      <c r="M163" s="1017"/>
      <c r="N163" s="1018"/>
      <c r="O163" s="1014"/>
      <c r="P163" s="1014"/>
      <c r="Q163" s="1014"/>
      <c r="R163" s="1015"/>
      <c r="S163" s="928" t="s">
        <v>262</v>
      </c>
      <c r="T163" s="929"/>
      <c r="U163" s="929"/>
      <c r="V163" s="929"/>
      <c r="W163" s="930"/>
      <c r="X163" s="460"/>
      <c r="AD163" s="360" t="s">
        <v>399</v>
      </c>
      <c r="AH163" s="377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7.25" customHeight="1" hidden="1">
      <c r="A164" s="662"/>
      <c r="B164" s="1016" t="str">
        <f>'общие сведения'!B25:I25</f>
        <v>(в межаттестационный период мониторинги системы образовния по предмету не проводились)</v>
      </c>
      <c r="C164" s="1017"/>
      <c r="D164" s="1017"/>
      <c r="E164" s="1017"/>
      <c r="F164" s="1017"/>
      <c r="G164" s="1017"/>
      <c r="H164" s="1017"/>
      <c r="I164" s="1017"/>
      <c r="J164" s="1017"/>
      <c r="K164" s="1017"/>
      <c r="L164" s="1017"/>
      <c r="M164" s="1017"/>
      <c r="N164" s="1018"/>
      <c r="O164" s="988" t="str">
        <f>IF(Y165=0,IF(OR(FIO="",AB165="нет"),"-",0),"")</f>
        <v>-</v>
      </c>
      <c r="P164" s="989"/>
      <c r="Q164" s="989"/>
      <c r="R164" s="989"/>
      <c r="S164" s="894"/>
      <c r="T164" s="895"/>
      <c r="U164" s="895"/>
      <c r="V164" s="895"/>
      <c r="W164" s="896"/>
      <c r="X164" s="460"/>
      <c r="Z164" s="251" t="s">
        <v>210</v>
      </c>
      <c r="AA164" s="252" t="s">
        <v>278</v>
      </c>
      <c r="AB164" s="167" t="s">
        <v>350</v>
      </c>
      <c r="AD164" s="294" t="str">
        <f>IF($AB$165="да",AD138,"-")</f>
        <v>-</v>
      </c>
      <c r="AE164" s="294" t="str">
        <f>IF($AB$165="да",AE138,"-")</f>
        <v>-</v>
      </c>
      <c r="AF164" s="294" t="str">
        <f>IF($AB$165="да",AF138,"-")</f>
        <v>-</v>
      </c>
      <c r="AG164" s="294" t="str">
        <f>IF($AB$165="да",AG138,"-")</f>
        <v>-</v>
      </c>
      <c r="AH164" s="377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 customHeight="1" hidden="1">
      <c r="A165" s="663"/>
      <c r="B165" s="1035"/>
      <c r="C165" s="1036"/>
      <c r="D165" s="1036"/>
      <c r="E165" s="1036"/>
      <c r="F165" s="1036"/>
      <c r="G165" s="1036"/>
      <c r="H165" s="1036"/>
      <c r="I165" s="1036"/>
      <c r="J165" s="1036"/>
      <c r="K165" s="1036"/>
      <c r="L165" s="1036"/>
      <c r="M165" s="1036"/>
      <c r="N165" s="1037"/>
      <c r="O165" s="988"/>
      <c r="P165" s="989"/>
      <c r="Q165" s="989"/>
      <c r="R165" s="989"/>
      <c r="S165" s="897"/>
      <c r="T165" s="898"/>
      <c r="U165" s="898"/>
      <c r="V165" s="898"/>
      <c r="W165" s="899"/>
      <c r="X165" s="460"/>
      <c r="Y165" s="267">
        <f>IF(AB165="да",S164,0)</f>
        <v>0</v>
      </c>
      <c r="Z165" s="253">
        <f>IF(AB165="нет",0,100)</f>
        <v>0</v>
      </c>
      <c r="AA165" s="270">
        <f>IF(AB165="нет",0,60)</f>
        <v>0</v>
      </c>
      <c r="AB165" s="323" t="str">
        <f>'общие сведения'!K19</f>
        <v>нет</v>
      </c>
      <c r="AC165" s="348" t="b">
        <f>OR(S164=0,$S$164="-")</f>
        <v>1</v>
      </c>
      <c r="AH165" s="377"/>
      <c r="AI165" s="12" t="s">
        <v>5</v>
      </c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</row>
    <row r="166" spans="1:45" ht="11.25" customHeight="1" hidden="1">
      <c r="A166" s="248"/>
      <c r="B166" s="199"/>
      <c r="C166" s="199"/>
      <c r="D166" s="199"/>
      <c r="E166" s="199"/>
      <c r="F166" s="199"/>
      <c r="G166" s="244"/>
      <c r="H166" s="244"/>
      <c r="I166" s="244"/>
      <c r="J166" s="244"/>
      <c r="K166" s="244"/>
      <c r="L166" s="194"/>
      <c r="M166" s="194"/>
      <c r="N166" s="194"/>
      <c r="O166" s="194"/>
      <c r="P166" s="194"/>
      <c r="Q166" s="194"/>
      <c r="R166" s="194"/>
      <c r="S166" s="195"/>
      <c r="T166" s="195"/>
      <c r="U166" s="195"/>
      <c r="V166" s="195"/>
      <c r="W166" s="195"/>
      <c r="X166" s="460"/>
      <c r="AD166" s="189"/>
      <c r="AG166" s="12"/>
      <c r="AH166" s="377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</row>
    <row r="167" spans="1:34" ht="12.75">
      <c r="A167" s="168"/>
      <c r="B167" s="283"/>
      <c r="C167" s="283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460"/>
      <c r="AA167" s="251" t="s">
        <v>279</v>
      </c>
      <c r="AB167" s="251" t="s">
        <v>210</v>
      </c>
      <c r="AC167" s="284" t="s">
        <v>278</v>
      </c>
      <c r="AD167" s="189"/>
      <c r="AE167" s="321" t="s">
        <v>280</v>
      </c>
      <c r="AH167" s="377"/>
    </row>
    <row r="168" spans="1:45" ht="30" customHeight="1">
      <c r="A168" s="666" t="s">
        <v>263</v>
      </c>
      <c r="B168" s="1021" t="s">
        <v>687</v>
      </c>
      <c r="C168" s="1021"/>
      <c r="D168" s="1021"/>
      <c r="E168" s="1021"/>
      <c r="F168" s="1021"/>
      <c r="G168" s="1021"/>
      <c r="H168" s="1021"/>
      <c r="I168" s="1021"/>
      <c r="J168" s="1021"/>
      <c r="K168" s="1021"/>
      <c r="L168" s="1021"/>
      <c r="M168" s="1021"/>
      <c r="N168" s="1021"/>
      <c r="O168" s="1021"/>
      <c r="P168" s="1021"/>
      <c r="Q168" s="1021"/>
      <c r="R168" s="1021"/>
      <c r="S168" s="1021"/>
      <c r="T168" s="1021"/>
      <c r="U168" s="1021"/>
      <c r="V168" s="1021"/>
      <c r="W168" s="1021"/>
      <c r="X168" s="460"/>
      <c r="Y168" s="295" t="str">
        <f>A168</f>
        <v>2. </v>
      </c>
      <c r="Z168" s="271" t="s">
        <v>287</v>
      </c>
      <c r="AA168" s="268">
        <f>SUM(Y169:Y263)</f>
        <v>0</v>
      </c>
      <c r="AB168" s="269">
        <f>SUM(Z169:Z263)</f>
        <v>470</v>
      </c>
      <c r="AC168" s="322">
        <f>SUM(AA169:AA263)</f>
        <v>40</v>
      </c>
      <c r="AD168" s="189"/>
      <c r="AE168" s="321" t="b">
        <f>итого_2&gt;=AC168</f>
        <v>0</v>
      </c>
      <c r="AH168" s="377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</row>
    <row r="169" spans="1:45" ht="13.5">
      <c r="A169" s="811" t="s">
        <v>203</v>
      </c>
      <c r="B169" s="811"/>
      <c r="C169" s="811"/>
      <c r="D169" s="811"/>
      <c r="E169" s="811"/>
      <c r="F169" s="811"/>
      <c r="G169" s="811"/>
      <c r="H169" s="811"/>
      <c r="I169" s="811"/>
      <c r="J169" s="811"/>
      <c r="K169" s="811"/>
      <c r="L169" s="811"/>
      <c r="M169" s="811"/>
      <c r="N169" s="811"/>
      <c r="O169" s="811"/>
      <c r="P169" s="811"/>
      <c r="Q169" s="811"/>
      <c r="R169" s="811"/>
      <c r="S169" s="811"/>
      <c r="T169" s="811"/>
      <c r="U169" s="811"/>
      <c r="V169" s="811"/>
      <c r="W169" s="811"/>
      <c r="X169" s="460"/>
      <c r="AD169" s="189"/>
      <c r="AH169" s="377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</row>
    <row r="170" spans="1:45" ht="12.75">
      <c r="A170" s="204" t="s">
        <v>204</v>
      </c>
      <c r="B170" s="839" t="s">
        <v>310</v>
      </c>
      <c r="C170" s="839"/>
      <c r="D170" s="839"/>
      <c r="E170" s="839"/>
      <c r="F170" s="839"/>
      <c r="G170" s="839"/>
      <c r="H170" s="839"/>
      <c r="I170" s="839"/>
      <c r="J170" s="839"/>
      <c r="K170" s="839"/>
      <c r="L170" s="839"/>
      <c r="M170" s="839"/>
      <c r="N170" s="839"/>
      <c r="O170" s="839"/>
      <c r="P170" s="839"/>
      <c r="Q170" s="839"/>
      <c r="R170" s="839"/>
      <c r="S170" s="839"/>
      <c r="T170" s="839"/>
      <c r="U170" s="839"/>
      <c r="V170" s="839"/>
      <c r="W170" s="839"/>
      <c r="X170" s="460"/>
      <c r="AH170" s="377"/>
      <c r="AM170" s="12"/>
      <c r="AN170" s="12"/>
      <c r="AO170" s="12"/>
      <c r="AP170" s="12"/>
      <c r="AQ170" s="12"/>
      <c r="AR170" s="12"/>
      <c r="AS170" s="12"/>
    </row>
    <row r="171" spans="1:45" ht="6" customHeight="1">
      <c r="A171" s="261"/>
      <c r="B171" s="839"/>
      <c r="C171" s="839"/>
      <c r="D171" s="839"/>
      <c r="E171" s="839"/>
      <c r="F171" s="839"/>
      <c r="G171" s="839"/>
      <c r="H171" s="839"/>
      <c r="I171" s="839"/>
      <c r="J171" s="839"/>
      <c r="K171" s="839"/>
      <c r="L171" s="839"/>
      <c r="M171" s="839"/>
      <c r="N171" s="839"/>
      <c r="O171" s="839"/>
      <c r="P171" s="839"/>
      <c r="Q171" s="839"/>
      <c r="R171" s="839"/>
      <c r="S171" s="839"/>
      <c r="T171" s="839"/>
      <c r="U171" s="839"/>
      <c r="V171" s="839"/>
      <c r="W171" s="839"/>
      <c r="X171" s="460"/>
      <c r="AH171" s="377"/>
      <c r="AM171" s="12"/>
      <c r="AN171" s="12"/>
      <c r="AO171" s="12"/>
      <c r="AP171" s="12"/>
      <c r="AQ171" s="12"/>
      <c r="AR171" s="12"/>
      <c r="AS171" s="12"/>
    </row>
    <row r="172" spans="1:45" ht="12.75">
      <c r="A172" s="261"/>
      <c r="B172" s="839"/>
      <c r="C172" s="839"/>
      <c r="D172" s="839"/>
      <c r="E172" s="839"/>
      <c r="F172" s="839"/>
      <c r="G172" s="839"/>
      <c r="H172" s="839"/>
      <c r="I172" s="839"/>
      <c r="J172" s="839"/>
      <c r="K172" s="839"/>
      <c r="L172" s="839"/>
      <c r="M172" s="839"/>
      <c r="N172" s="839"/>
      <c r="O172" s="839"/>
      <c r="P172" s="839"/>
      <c r="Q172" s="839"/>
      <c r="R172" s="839"/>
      <c r="S172" s="839"/>
      <c r="T172" s="839"/>
      <c r="U172" s="839"/>
      <c r="V172" s="839"/>
      <c r="W172" s="839"/>
      <c r="X172" s="460"/>
      <c r="Z172" s="12"/>
      <c r="AH172" s="377"/>
      <c r="AN172" s="12"/>
      <c r="AO172" s="12"/>
      <c r="AP172" s="12"/>
      <c r="AQ172" s="12"/>
      <c r="AR172" s="12"/>
      <c r="AS172" s="12"/>
    </row>
    <row r="173" spans="1:45" ht="12.75">
      <c r="A173" s="204" t="s">
        <v>204</v>
      </c>
      <c r="B173" s="839" t="s">
        <v>309</v>
      </c>
      <c r="C173" s="839"/>
      <c r="D173" s="839"/>
      <c r="E173" s="839"/>
      <c r="F173" s="839"/>
      <c r="G173" s="839"/>
      <c r="H173" s="839"/>
      <c r="I173" s="839"/>
      <c r="J173" s="839"/>
      <c r="K173" s="839"/>
      <c r="L173" s="839"/>
      <c r="M173" s="839"/>
      <c r="N173" s="839"/>
      <c r="O173" s="839"/>
      <c r="P173" s="839"/>
      <c r="Q173" s="839"/>
      <c r="R173" s="839"/>
      <c r="S173" s="839"/>
      <c r="T173" s="839"/>
      <c r="U173" s="839"/>
      <c r="V173" s="839"/>
      <c r="W173" s="839"/>
      <c r="X173" s="460"/>
      <c r="AH173" s="377"/>
      <c r="AN173" s="12"/>
      <c r="AO173" s="12"/>
      <c r="AP173" s="12"/>
      <c r="AQ173" s="12"/>
      <c r="AR173" s="12"/>
      <c r="AS173" s="12"/>
    </row>
    <row r="174" spans="2:45" ht="12.75">
      <c r="B174" s="839"/>
      <c r="C174" s="839"/>
      <c r="D174" s="839"/>
      <c r="E174" s="839"/>
      <c r="F174" s="839"/>
      <c r="G174" s="839"/>
      <c r="H174" s="839"/>
      <c r="I174" s="839"/>
      <c r="J174" s="839"/>
      <c r="K174" s="839"/>
      <c r="L174" s="839"/>
      <c r="M174" s="839"/>
      <c r="N174" s="839"/>
      <c r="O174" s="839"/>
      <c r="P174" s="839"/>
      <c r="Q174" s="839"/>
      <c r="R174" s="839"/>
      <c r="S174" s="839"/>
      <c r="T174" s="839"/>
      <c r="U174" s="839"/>
      <c r="V174" s="839"/>
      <c r="W174" s="839"/>
      <c r="X174" s="460"/>
      <c r="AH174" s="377"/>
      <c r="AM174" s="12"/>
      <c r="AN174" s="12"/>
      <c r="AO174" s="12"/>
      <c r="AP174" s="12"/>
      <c r="AQ174" s="12"/>
      <c r="AR174" s="12"/>
      <c r="AS174" s="12"/>
    </row>
    <row r="175" spans="2:45" ht="12.75">
      <c r="B175" s="839"/>
      <c r="C175" s="839"/>
      <c r="D175" s="839"/>
      <c r="E175" s="839"/>
      <c r="F175" s="839"/>
      <c r="G175" s="839"/>
      <c r="H175" s="839"/>
      <c r="I175" s="839"/>
      <c r="J175" s="839"/>
      <c r="K175" s="839"/>
      <c r="L175" s="839"/>
      <c r="M175" s="839"/>
      <c r="N175" s="839"/>
      <c r="O175" s="839"/>
      <c r="P175" s="839"/>
      <c r="Q175" s="839"/>
      <c r="R175" s="839"/>
      <c r="S175" s="839"/>
      <c r="T175" s="839"/>
      <c r="U175" s="839"/>
      <c r="V175" s="839"/>
      <c r="W175" s="839"/>
      <c r="X175" s="460"/>
      <c r="AH175" s="377"/>
      <c r="AM175" s="12"/>
      <c r="AN175" s="12"/>
      <c r="AO175" s="12"/>
      <c r="AP175" s="12"/>
      <c r="AQ175" s="12"/>
      <c r="AR175" s="12"/>
      <c r="AS175" s="12"/>
    </row>
    <row r="176" spans="2:34" ht="12.75" customHeight="1">
      <c r="B176" s="839"/>
      <c r="C176" s="839"/>
      <c r="D176" s="839"/>
      <c r="E176" s="839"/>
      <c r="F176" s="839"/>
      <c r="G176" s="839"/>
      <c r="H176" s="839"/>
      <c r="I176" s="839"/>
      <c r="J176" s="839"/>
      <c r="K176" s="839"/>
      <c r="L176" s="839"/>
      <c r="M176" s="839"/>
      <c r="N176" s="839"/>
      <c r="O176" s="839"/>
      <c r="P176" s="839"/>
      <c r="Q176" s="839"/>
      <c r="R176" s="839"/>
      <c r="S176" s="839"/>
      <c r="T176" s="839"/>
      <c r="U176" s="839"/>
      <c r="V176" s="839"/>
      <c r="W176" s="839"/>
      <c r="X176" s="460"/>
      <c r="AH176" s="377"/>
    </row>
    <row r="177" spans="1:34" ht="13.5">
      <c r="A177" s="840" t="s">
        <v>205</v>
      </c>
      <c r="B177" s="798" t="s">
        <v>206</v>
      </c>
      <c r="C177" s="799"/>
      <c r="D177" s="799"/>
      <c r="E177" s="800"/>
      <c r="F177" s="815" t="s">
        <v>207</v>
      </c>
      <c r="G177" s="816"/>
      <c r="H177" s="816"/>
      <c r="I177" s="816"/>
      <c r="J177" s="816"/>
      <c r="K177" s="816"/>
      <c r="L177" s="816"/>
      <c r="M177" s="816"/>
      <c r="N177" s="816"/>
      <c r="O177" s="816"/>
      <c r="P177" s="816"/>
      <c r="Q177" s="816"/>
      <c r="R177" s="816"/>
      <c r="S177" s="816"/>
      <c r="T177" s="816"/>
      <c r="U177" s="816"/>
      <c r="V177" s="816"/>
      <c r="W177" s="817"/>
      <c r="X177" s="460"/>
      <c r="AE177" s="188"/>
      <c r="AF177" s="172"/>
      <c r="AH177" s="377"/>
    </row>
    <row r="178" spans="1:34" ht="14.25" customHeight="1">
      <c r="A178" s="841"/>
      <c r="B178" s="801"/>
      <c r="C178" s="802"/>
      <c r="D178" s="802"/>
      <c r="E178" s="803"/>
      <c r="F178" s="818" t="s">
        <v>212</v>
      </c>
      <c r="G178" s="819"/>
      <c r="H178" s="819"/>
      <c r="I178" s="819"/>
      <c r="J178" s="819"/>
      <c r="K178" s="819"/>
      <c r="L178" s="819"/>
      <c r="M178" s="819"/>
      <c r="N178" s="819"/>
      <c r="O178" s="819"/>
      <c r="P178" s="819"/>
      <c r="Q178" s="819"/>
      <c r="R178" s="819"/>
      <c r="S178" s="819"/>
      <c r="T178" s="819"/>
      <c r="U178" s="819"/>
      <c r="V178" s="819"/>
      <c r="W178" s="820"/>
      <c r="X178" s="460"/>
      <c r="AE178" s="188"/>
      <c r="AF178" s="172"/>
      <c r="AH178" s="377"/>
    </row>
    <row r="179" spans="1:34" ht="14.25" customHeight="1">
      <c r="A179" s="842"/>
      <c r="B179" s="804"/>
      <c r="C179" s="805"/>
      <c r="D179" s="805"/>
      <c r="E179" s="806"/>
      <c r="F179" s="821">
        <v>0</v>
      </c>
      <c r="G179" s="822"/>
      <c r="H179" s="821">
        <v>10</v>
      </c>
      <c r="I179" s="823"/>
      <c r="J179" s="822"/>
      <c r="K179" s="836" t="s">
        <v>264</v>
      </c>
      <c r="L179" s="837"/>
      <c r="M179" s="838"/>
      <c r="N179" s="836" t="s">
        <v>214</v>
      </c>
      <c r="O179" s="837"/>
      <c r="P179" s="838"/>
      <c r="Q179" s="836" t="s">
        <v>265</v>
      </c>
      <c r="R179" s="837"/>
      <c r="S179" s="838"/>
      <c r="T179" s="821" t="s">
        <v>265</v>
      </c>
      <c r="U179" s="823"/>
      <c r="V179" s="823"/>
      <c r="W179" s="822"/>
      <c r="X179" s="460"/>
      <c r="AE179" s="188"/>
      <c r="AF179" s="172"/>
      <c r="AH179" s="377"/>
    </row>
    <row r="180" spans="1:34" ht="15" customHeight="1">
      <c r="A180" s="843" t="s">
        <v>424</v>
      </c>
      <c r="B180" s="772" t="s">
        <v>701</v>
      </c>
      <c r="C180" s="773"/>
      <c r="D180" s="773"/>
      <c r="E180" s="774"/>
      <c r="F180" s="781" t="s">
        <v>286</v>
      </c>
      <c r="G180" s="783"/>
      <c r="H180" s="781" t="s">
        <v>420</v>
      </c>
      <c r="I180" s="782"/>
      <c r="J180" s="783"/>
      <c r="K180" s="781" t="s">
        <v>704</v>
      </c>
      <c r="L180" s="782"/>
      <c r="M180" s="783"/>
      <c r="N180" s="781" t="s">
        <v>423</v>
      </c>
      <c r="O180" s="782"/>
      <c r="P180" s="783"/>
      <c r="Q180" s="781" t="s">
        <v>422</v>
      </c>
      <c r="R180" s="782"/>
      <c r="S180" s="783"/>
      <c r="T180" s="781" t="s">
        <v>421</v>
      </c>
      <c r="U180" s="782"/>
      <c r="V180" s="782"/>
      <c r="W180" s="783"/>
      <c r="X180" s="460"/>
      <c r="AE180" s="188"/>
      <c r="AF180" s="172"/>
      <c r="AH180" s="377"/>
    </row>
    <row r="181" spans="1:34" ht="12.75" customHeight="1">
      <c r="A181" s="844"/>
      <c r="B181" s="775"/>
      <c r="C181" s="776"/>
      <c r="D181" s="776"/>
      <c r="E181" s="777"/>
      <c r="F181" s="784"/>
      <c r="G181" s="786"/>
      <c r="H181" s="784"/>
      <c r="I181" s="785"/>
      <c r="J181" s="786"/>
      <c r="K181" s="784"/>
      <c r="L181" s="785"/>
      <c r="M181" s="786"/>
      <c r="N181" s="784"/>
      <c r="O181" s="785"/>
      <c r="P181" s="786"/>
      <c r="Q181" s="784"/>
      <c r="R181" s="785"/>
      <c r="S181" s="786"/>
      <c r="T181" s="784"/>
      <c r="U181" s="785"/>
      <c r="V181" s="785"/>
      <c r="W181" s="786"/>
      <c r="X181" s="460"/>
      <c r="AE181" s="188"/>
      <c r="AF181" s="172"/>
      <c r="AH181" s="377"/>
    </row>
    <row r="182" spans="1:34" ht="12.75" customHeight="1">
      <c r="A182" s="844"/>
      <c r="B182" s="775"/>
      <c r="C182" s="776"/>
      <c r="D182" s="776"/>
      <c r="E182" s="777"/>
      <c r="F182" s="784"/>
      <c r="G182" s="786"/>
      <c r="H182" s="784"/>
      <c r="I182" s="785"/>
      <c r="J182" s="786"/>
      <c r="K182" s="784"/>
      <c r="L182" s="785"/>
      <c r="M182" s="786"/>
      <c r="N182" s="784"/>
      <c r="O182" s="785"/>
      <c r="P182" s="786"/>
      <c r="Q182" s="784"/>
      <c r="R182" s="785"/>
      <c r="S182" s="786"/>
      <c r="T182" s="784"/>
      <c r="U182" s="785"/>
      <c r="V182" s="785"/>
      <c r="W182" s="786"/>
      <c r="X182" s="460"/>
      <c r="AE182" s="188"/>
      <c r="AF182" s="172"/>
      <c r="AH182" s="377"/>
    </row>
    <row r="183" spans="1:34" ht="6.75" customHeight="1">
      <c r="A183" s="844"/>
      <c r="B183" s="775"/>
      <c r="C183" s="776"/>
      <c r="D183" s="776"/>
      <c r="E183" s="777"/>
      <c r="F183" s="784"/>
      <c r="G183" s="786"/>
      <c r="H183" s="982" t="s">
        <v>473</v>
      </c>
      <c r="I183" s="983"/>
      <c r="J183" s="984"/>
      <c r="K183" s="982" t="s">
        <v>417</v>
      </c>
      <c r="L183" s="983"/>
      <c r="M183" s="984"/>
      <c r="N183" s="982" t="s">
        <v>284</v>
      </c>
      <c r="O183" s="983"/>
      <c r="P183" s="984"/>
      <c r="Q183" s="982" t="s">
        <v>285</v>
      </c>
      <c r="R183" s="983"/>
      <c r="S183" s="984"/>
      <c r="T183" s="982" t="s">
        <v>475</v>
      </c>
      <c r="U183" s="983"/>
      <c r="V183" s="983"/>
      <c r="W183" s="984"/>
      <c r="X183" s="460"/>
      <c r="AB183" s="274"/>
      <c r="AE183" s="290"/>
      <c r="AF183" s="291"/>
      <c r="AH183" s="377"/>
    </row>
    <row r="184" spans="1:34" ht="12.75" customHeight="1">
      <c r="A184" s="844"/>
      <c r="B184" s="775"/>
      <c r="C184" s="776"/>
      <c r="D184" s="776"/>
      <c r="E184" s="777"/>
      <c r="F184" s="784"/>
      <c r="G184" s="786"/>
      <c r="H184" s="982"/>
      <c r="I184" s="983"/>
      <c r="J184" s="984"/>
      <c r="K184" s="982"/>
      <c r="L184" s="983"/>
      <c r="M184" s="984"/>
      <c r="N184" s="982"/>
      <c r="O184" s="983"/>
      <c r="P184" s="984"/>
      <c r="Q184" s="982"/>
      <c r="R184" s="983"/>
      <c r="S184" s="984"/>
      <c r="T184" s="982"/>
      <c r="U184" s="983"/>
      <c r="V184" s="983"/>
      <c r="W184" s="984"/>
      <c r="X184" s="460"/>
      <c r="Z184" s="275"/>
      <c r="AE184" s="188"/>
      <c r="AF184" s="172"/>
      <c r="AH184" s="377"/>
    </row>
    <row r="185" spans="1:34" ht="12.75" customHeight="1">
      <c r="A185" s="844"/>
      <c r="B185" s="1117" t="s">
        <v>283</v>
      </c>
      <c r="C185" s="1118"/>
      <c r="D185" s="1118"/>
      <c r="E185" s="1119"/>
      <c r="F185" s="784"/>
      <c r="G185" s="786"/>
      <c r="H185" s="982"/>
      <c r="I185" s="983"/>
      <c r="J185" s="984"/>
      <c r="K185" s="982"/>
      <c r="L185" s="983"/>
      <c r="M185" s="984"/>
      <c r="N185" s="982"/>
      <c r="O185" s="983"/>
      <c r="P185" s="984"/>
      <c r="Q185" s="982"/>
      <c r="R185" s="983"/>
      <c r="S185" s="984"/>
      <c r="T185" s="982"/>
      <c r="U185" s="983"/>
      <c r="V185" s="983"/>
      <c r="W185" s="984"/>
      <c r="X185" s="460"/>
      <c r="Z185" s="275"/>
      <c r="AE185" s="188"/>
      <c r="AF185" s="172"/>
      <c r="AH185" s="377"/>
    </row>
    <row r="186" spans="1:34" ht="11.25" customHeight="1">
      <c r="A186" s="844"/>
      <c r="B186" s="792" t="s">
        <v>702</v>
      </c>
      <c r="C186" s="793"/>
      <c r="D186" s="793"/>
      <c r="E186" s="794"/>
      <c r="F186" s="784"/>
      <c r="G186" s="786"/>
      <c r="H186" s="982"/>
      <c r="I186" s="983"/>
      <c r="J186" s="984"/>
      <c r="K186" s="982"/>
      <c r="L186" s="983"/>
      <c r="M186" s="984"/>
      <c r="N186" s="982"/>
      <c r="O186" s="983"/>
      <c r="P186" s="984"/>
      <c r="Q186" s="982"/>
      <c r="R186" s="983"/>
      <c r="S186" s="984"/>
      <c r="T186" s="982"/>
      <c r="U186" s="983"/>
      <c r="V186" s="983"/>
      <c r="W186" s="984"/>
      <c r="X186" s="460"/>
      <c r="Z186" s="275"/>
      <c r="AE186" s="188"/>
      <c r="AF186" s="172"/>
      <c r="AH186" s="377"/>
    </row>
    <row r="187" spans="1:34" ht="12.75">
      <c r="A187" s="844"/>
      <c r="B187" s="792"/>
      <c r="C187" s="793"/>
      <c r="D187" s="793"/>
      <c r="E187" s="794"/>
      <c r="F187" s="784"/>
      <c r="G187" s="786"/>
      <c r="H187" s="1075"/>
      <c r="I187" s="1076"/>
      <c r="J187" s="1077"/>
      <c r="K187" s="1075" t="s">
        <v>217</v>
      </c>
      <c r="L187" s="1076"/>
      <c r="M187" s="1077"/>
      <c r="N187" s="1075" t="s">
        <v>217</v>
      </c>
      <c r="O187" s="1076"/>
      <c r="P187" s="1077"/>
      <c r="Q187" s="1075" t="s">
        <v>217</v>
      </c>
      <c r="R187" s="1076"/>
      <c r="S187" s="1077"/>
      <c r="T187" s="1075" t="s">
        <v>414</v>
      </c>
      <c r="U187" s="1076"/>
      <c r="V187" s="1076"/>
      <c r="W187" s="1077"/>
      <c r="X187" s="460"/>
      <c r="Z187" s="275"/>
      <c r="AE187" s="188"/>
      <c r="AF187" s="172"/>
      <c r="AH187" s="377"/>
    </row>
    <row r="188" spans="1:34" ht="12.75">
      <c r="A188" s="844"/>
      <c r="B188" s="792"/>
      <c r="C188" s="793"/>
      <c r="D188" s="793"/>
      <c r="E188" s="794"/>
      <c r="F188" s="784"/>
      <c r="G188" s="786"/>
      <c r="H188" s="1075"/>
      <c r="I188" s="1076"/>
      <c r="J188" s="1077"/>
      <c r="K188" s="1075"/>
      <c r="L188" s="1076"/>
      <c r="M188" s="1077"/>
      <c r="N188" s="1075"/>
      <c r="O188" s="1076"/>
      <c r="P188" s="1077"/>
      <c r="Q188" s="1075"/>
      <c r="R188" s="1076"/>
      <c r="S188" s="1077"/>
      <c r="T188" s="1075"/>
      <c r="U188" s="1076"/>
      <c r="V188" s="1076"/>
      <c r="W188" s="1077"/>
      <c r="X188" s="460"/>
      <c r="Z188" s="275"/>
      <c r="AE188" s="188"/>
      <c r="AF188" s="172"/>
      <c r="AH188" s="377"/>
    </row>
    <row r="189" spans="1:34" ht="12" customHeight="1">
      <c r="A189" s="844"/>
      <c r="B189" s="792"/>
      <c r="C189" s="793"/>
      <c r="D189" s="793"/>
      <c r="E189" s="794"/>
      <c r="F189" s="787"/>
      <c r="G189" s="789"/>
      <c r="H189" s="1078"/>
      <c r="I189" s="1079"/>
      <c r="J189" s="1080"/>
      <c r="K189" s="1078"/>
      <c r="L189" s="1079"/>
      <c r="M189" s="1080"/>
      <c r="N189" s="1078"/>
      <c r="O189" s="1079"/>
      <c r="P189" s="1080"/>
      <c r="Q189" s="1078"/>
      <c r="R189" s="1079"/>
      <c r="S189" s="1080"/>
      <c r="T189" s="1078"/>
      <c r="U189" s="1079"/>
      <c r="V189" s="1079"/>
      <c r="W189" s="1080"/>
      <c r="X189" s="460"/>
      <c r="AE189" s="188"/>
      <c r="AF189" s="172"/>
      <c r="AH189" s="377"/>
    </row>
    <row r="190" spans="1:34" ht="12.75">
      <c r="A190" s="844"/>
      <c r="B190" s="792"/>
      <c r="C190" s="793"/>
      <c r="D190" s="793"/>
      <c r="E190" s="794"/>
      <c r="F190" s="790">
        <f>IF(Y191=0,IF(FIO="","",0),"")</f>
      </c>
      <c r="G190" s="790"/>
      <c r="H190" s="791"/>
      <c r="I190" s="791"/>
      <c r="J190" s="791"/>
      <c r="K190" s="791"/>
      <c r="L190" s="791"/>
      <c r="M190" s="791"/>
      <c r="N190" s="791"/>
      <c r="O190" s="791"/>
      <c r="P190" s="791"/>
      <c r="Q190" s="791"/>
      <c r="R190" s="791"/>
      <c r="S190" s="791"/>
      <c r="T190" s="791"/>
      <c r="U190" s="791"/>
      <c r="V190" s="791"/>
      <c r="W190" s="791"/>
      <c r="X190" s="460"/>
      <c r="Z190" s="251" t="s">
        <v>210</v>
      </c>
      <c r="AA190" s="252" t="s">
        <v>278</v>
      </c>
      <c r="AE190" s="292" t="s">
        <v>3</v>
      </c>
      <c r="AF190" s="293" t="s">
        <v>2</v>
      </c>
      <c r="AH190" s="377"/>
    </row>
    <row r="191" spans="1:34" ht="12.75">
      <c r="A191" s="845"/>
      <c r="B191" s="795"/>
      <c r="C191" s="796"/>
      <c r="D191" s="796"/>
      <c r="E191" s="797"/>
      <c r="F191" s="790"/>
      <c r="G191" s="790"/>
      <c r="H191" s="791"/>
      <c r="I191" s="791"/>
      <c r="J191" s="791"/>
      <c r="K191" s="791"/>
      <c r="L191" s="791"/>
      <c r="M191" s="791"/>
      <c r="N191" s="791"/>
      <c r="O191" s="791"/>
      <c r="P191" s="791"/>
      <c r="Q191" s="791"/>
      <c r="R191" s="791"/>
      <c r="S191" s="791"/>
      <c r="T191" s="791"/>
      <c r="U191" s="791"/>
      <c r="V191" s="791"/>
      <c r="W191" s="791"/>
      <c r="X191" s="460"/>
      <c r="Y191" s="267">
        <f>SUM(H190:W191)</f>
        <v>0</v>
      </c>
      <c r="Z191" s="253">
        <v>130</v>
      </c>
      <c r="AA191" s="270">
        <f>IF(z_kateg="высшая",AE191,AF191)</f>
        <v>20</v>
      </c>
      <c r="AE191" s="288">
        <v>30</v>
      </c>
      <c r="AF191" s="289">
        <v>20</v>
      </c>
      <c r="AH191" s="377"/>
    </row>
    <row r="192" spans="1:34" ht="13.5">
      <c r="A192" s="840" t="s">
        <v>205</v>
      </c>
      <c r="B192" s="798" t="s">
        <v>206</v>
      </c>
      <c r="C192" s="799"/>
      <c r="D192" s="799"/>
      <c r="E192" s="800"/>
      <c r="F192" s="815" t="s">
        <v>207</v>
      </c>
      <c r="G192" s="816"/>
      <c r="H192" s="816"/>
      <c r="I192" s="816"/>
      <c r="J192" s="816"/>
      <c r="K192" s="816"/>
      <c r="L192" s="816"/>
      <c r="M192" s="816"/>
      <c r="N192" s="816"/>
      <c r="O192" s="816"/>
      <c r="P192" s="816"/>
      <c r="Q192" s="816"/>
      <c r="R192" s="816"/>
      <c r="S192" s="816"/>
      <c r="T192" s="816"/>
      <c r="U192" s="816"/>
      <c r="V192" s="816"/>
      <c r="W192" s="817"/>
      <c r="X192" s="460"/>
      <c r="AE192" s="188"/>
      <c r="AF192" s="172"/>
      <c r="AH192" s="377"/>
    </row>
    <row r="193" spans="1:34" ht="14.25" customHeight="1">
      <c r="A193" s="841"/>
      <c r="B193" s="801"/>
      <c r="C193" s="802"/>
      <c r="D193" s="802"/>
      <c r="E193" s="803"/>
      <c r="F193" s="818" t="s">
        <v>212</v>
      </c>
      <c r="G193" s="819"/>
      <c r="H193" s="819"/>
      <c r="I193" s="819"/>
      <c r="J193" s="819"/>
      <c r="K193" s="819"/>
      <c r="L193" s="819"/>
      <c r="M193" s="819"/>
      <c r="N193" s="819"/>
      <c r="O193" s="819"/>
      <c r="P193" s="819"/>
      <c r="Q193" s="819"/>
      <c r="R193" s="819"/>
      <c r="S193" s="819"/>
      <c r="T193" s="819"/>
      <c r="U193" s="819"/>
      <c r="V193" s="819"/>
      <c r="W193" s="820"/>
      <c r="X193" s="460"/>
      <c r="AE193" s="188"/>
      <c r="AF193" s="172"/>
      <c r="AH193" s="377"/>
    </row>
    <row r="194" spans="1:34" ht="14.25" customHeight="1">
      <c r="A194" s="842"/>
      <c r="B194" s="804"/>
      <c r="C194" s="805"/>
      <c r="D194" s="805"/>
      <c r="E194" s="806"/>
      <c r="F194" s="821">
        <v>0</v>
      </c>
      <c r="G194" s="822"/>
      <c r="H194" s="821">
        <v>10</v>
      </c>
      <c r="I194" s="823"/>
      <c r="J194" s="822"/>
      <c r="K194" s="836" t="s">
        <v>264</v>
      </c>
      <c r="L194" s="837"/>
      <c r="M194" s="838"/>
      <c r="N194" s="836" t="s">
        <v>267</v>
      </c>
      <c r="O194" s="837"/>
      <c r="P194" s="838"/>
      <c r="Q194" s="836" t="s">
        <v>474</v>
      </c>
      <c r="R194" s="837"/>
      <c r="S194" s="838"/>
      <c r="T194" s="821" t="s">
        <v>474</v>
      </c>
      <c r="U194" s="823"/>
      <c r="V194" s="823"/>
      <c r="W194" s="822"/>
      <c r="X194" s="460"/>
      <c r="AE194" s="188"/>
      <c r="AF194" s="172"/>
      <c r="AH194" s="377"/>
    </row>
    <row r="195" spans="1:34" ht="15" customHeight="1">
      <c r="A195" s="843" t="s">
        <v>425</v>
      </c>
      <c r="B195" s="772" t="s">
        <v>703</v>
      </c>
      <c r="C195" s="773"/>
      <c r="D195" s="773"/>
      <c r="E195" s="774"/>
      <c r="F195" s="781" t="s">
        <v>305</v>
      </c>
      <c r="G195" s="783"/>
      <c r="H195" s="781" t="s">
        <v>420</v>
      </c>
      <c r="I195" s="782"/>
      <c r="J195" s="783"/>
      <c r="K195" s="781" t="s">
        <v>704</v>
      </c>
      <c r="L195" s="782"/>
      <c r="M195" s="783"/>
      <c r="N195" s="781" t="s">
        <v>423</v>
      </c>
      <c r="O195" s="782"/>
      <c r="P195" s="783"/>
      <c r="Q195" s="781" t="s">
        <v>422</v>
      </c>
      <c r="R195" s="782"/>
      <c r="S195" s="783"/>
      <c r="T195" s="781" t="s">
        <v>421</v>
      </c>
      <c r="U195" s="782"/>
      <c r="V195" s="782"/>
      <c r="W195" s="783"/>
      <c r="X195" s="460"/>
      <c r="AE195" s="288"/>
      <c r="AF195" s="289"/>
      <c r="AH195" s="377"/>
    </row>
    <row r="196" spans="1:34" ht="15" customHeight="1">
      <c r="A196" s="844"/>
      <c r="B196" s="775"/>
      <c r="C196" s="776"/>
      <c r="D196" s="776"/>
      <c r="E196" s="777"/>
      <c r="F196" s="784"/>
      <c r="G196" s="786"/>
      <c r="H196" s="784"/>
      <c r="I196" s="785"/>
      <c r="J196" s="786"/>
      <c r="K196" s="784"/>
      <c r="L196" s="785"/>
      <c r="M196" s="786"/>
      <c r="N196" s="784"/>
      <c r="O196" s="785"/>
      <c r="P196" s="786"/>
      <c r="Q196" s="784"/>
      <c r="R196" s="785"/>
      <c r="S196" s="786"/>
      <c r="T196" s="784"/>
      <c r="U196" s="785"/>
      <c r="V196" s="785"/>
      <c r="W196" s="786"/>
      <c r="X196" s="460"/>
      <c r="AE196" s="286"/>
      <c r="AF196" s="287"/>
      <c r="AH196" s="377"/>
    </row>
    <row r="197" spans="1:34" ht="12" customHeight="1">
      <c r="A197" s="844"/>
      <c r="B197" s="775"/>
      <c r="C197" s="776"/>
      <c r="D197" s="776"/>
      <c r="E197" s="777"/>
      <c r="F197" s="784"/>
      <c r="G197" s="786"/>
      <c r="H197" s="784"/>
      <c r="I197" s="785"/>
      <c r="J197" s="786"/>
      <c r="K197" s="784"/>
      <c r="L197" s="785"/>
      <c r="M197" s="786"/>
      <c r="N197" s="784"/>
      <c r="O197" s="785"/>
      <c r="P197" s="786"/>
      <c r="Q197" s="784"/>
      <c r="R197" s="785"/>
      <c r="S197" s="786"/>
      <c r="T197" s="784"/>
      <c r="U197" s="785"/>
      <c r="V197" s="785"/>
      <c r="W197" s="786"/>
      <c r="X197" s="460"/>
      <c r="AB197" s="274"/>
      <c r="AE197" s="288"/>
      <c r="AF197" s="289"/>
      <c r="AH197" s="377"/>
    </row>
    <row r="198" spans="1:34" ht="12.75">
      <c r="A198" s="844"/>
      <c r="B198" s="775"/>
      <c r="C198" s="776"/>
      <c r="D198" s="776"/>
      <c r="E198" s="777"/>
      <c r="F198" s="784"/>
      <c r="G198" s="786"/>
      <c r="H198" s="1075"/>
      <c r="I198" s="1076"/>
      <c r="J198" s="1077"/>
      <c r="K198" s="1075" t="s">
        <v>410</v>
      </c>
      <c r="L198" s="1076"/>
      <c r="M198" s="1077"/>
      <c r="N198" s="1075" t="s">
        <v>409</v>
      </c>
      <c r="O198" s="1076"/>
      <c r="P198" s="1077"/>
      <c r="Q198" s="1075" t="s">
        <v>415</v>
      </c>
      <c r="R198" s="1076"/>
      <c r="S198" s="1077"/>
      <c r="T198" s="1075" t="s">
        <v>415</v>
      </c>
      <c r="U198" s="1076"/>
      <c r="V198" s="1076"/>
      <c r="W198" s="1077"/>
      <c r="X198" s="460"/>
      <c r="Z198" s="275"/>
      <c r="AE198" s="286"/>
      <c r="AF198" s="287"/>
      <c r="AH198" s="377"/>
    </row>
    <row r="199" spans="1:34" ht="12.75">
      <c r="A199" s="844"/>
      <c r="B199" s="775"/>
      <c r="C199" s="776"/>
      <c r="D199" s="776"/>
      <c r="E199" s="777"/>
      <c r="F199" s="784"/>
      <c r="G199" s="786"/>
      <c r="H199" s="1075"/>
      <c r="I199" s="1076"/>
      <c r="J199" s="1077"/>
      <c r="K199" s="1075"/>
      <c r="L199" s="1076"/>
      <c r="M199" s="1077"/>
      <c r="N199" s="1075"/>
      <c r="O199" s="1076"/>
      <c r="P199" s="1077"/>
      <c r="Q199" s="1075"/>
      <c r="R199" s="1076"/>
      <c r="S199" s="1077"/>
      <c r="T199" s="1075"/>
      <c r="U199" s="1076"/>
      <c r="V199" s="1076"/>
      <c r="W199" s="1077"/>
      <c r="X199" s="460"/>
      <c r="Z199" s="275"/>
      <c r="AE199" s="288"/>
      <c r="AF199" s="289"/>
      <c r="AH199" s="377"/>
    </row>
    <row r="200" spans="1:34" ht="12.75" customHeight="1">
      <c r="A200" s="844"/>
      <c r="B200" s="775"/>
      <c r="C200" s="776"/>
      <c r="D200" s="776"/>
      <c r="E200" s="777"/>
      <c r="F200" s="784"/>
      <c r="G200" s="786"/>
      <c r="H200" s="1075"/>
      <c r="I200" s="1076"/>
      <c r="J200" s="1077"/>
      <c r="K200" s="1075" t="s">
        <v>302</v>
      </c>
      <c r="L200" s="1076"/>
      <c r="M200" s="1077"/>
      <c r="N200" s="1075" t="s">
        <v>303</v>
      </c>
      <c r="O200" s="1076"/>
      <c r="P200" s="1077"/>
      <c r="Q200" s="1075" t="s">
        <v>282</v>
      </c>
      <c r="R200" s="1076"/>
      <c r="S200" s="1077"/>
      <c r="T200" s="1075" t="s">
        <v>416</v>
      </c>
      <c r="U200" s="1076"/>
      <c r="V200" s="1076"/>
      <c r="W200" s="1077"/>
      <c r="X200" s="460"/>
      <c r="Z200" s="275"/>
      <c r="AE200" s="286"/>
      <c r="AF200" s="287"/>
      <c r="AH200" s="377"/>
    </row>
    <row r="201" spans="1:34" ht="12.75" customHeight="1">
      <c r="A201" s="844"/>
      <c r="B201" s="775"/>
      <c r="C201" s="776"/>
      <c r="D201" s="776"/>
      <c r="E201" s="777"/>
      <c r="F201" s="787"/>
      <c r="G201" s="789"/>
      <c r="H201" s="1078"/>
      <c r="I201" s="1079"/>
      <c r="J201" s="1080"/>
      <c r="K201" s="1078"/>
      <c r="L201" s="1079"/>
      <c r="M201" s="1080"/>
      <c r="N201" s="1078"/>
      <c r="O201" s="1079"/>
      <c r="P201" s="1080"/>
      <c r="Q201" s="1078"/>
      <c r="R201" s="1079"/>
      <c r="S201" s="1080"/>
      <c r="T201" s="1078"/>
      <c r="U201" s="1079"/>
      <c r="V201" s="1079"/>
      <c r="W201" s="1080"/>
      <c r="X201" s="460"/>
      <c r="AE201" s="288"/>
      <c r="AF201" s="289"/>
      <c r="AH201" s="377"/>
    </row>
    <row r="202" spans="1:34" ht="12.75" customHeight="1">
      <c r="A202" s="844"/>
      <c r="B202" s="775"/>
      <c r="C202" s="776"/>
      <c r="D202" s="776"/>
      <c r="E202" s="777"/>
      <c r="F202" s="853">
        <f>IF(Y203=0,IF(FIO="","",0),"")</f>
      </c>
      <c r="G202" s="855"/>
      <c r="H202" s="791"/>
      <c r="I202" s="791"/>
      <c r="J202" s="791"/>
      <c r="K202" s="791"/>
      <c r="L202" s="791"/>
      <c r="M202" s="791"/>
      <c r="N202" s="791"/>
      <c r="O202" s="791"/>
      <c r="P202" s="791"/>
      <c r="Q202" s="791"/>
      <c r="R202" s="791"/>
      <c r="S202" s="791"/>
      <c r="T202" s="791"/>
      <c r="U202" s="791"/>
      <c r="V202" s="791"/>
      <c r="W202" s="791"/>
      <c r="X202" s="460"/>
      <c r="Z202" s="251" t="s">
        <v>210</v>
      </c>
      <c r="AA202" s="252" t="s">
        <v>278</v>
      </c>
      <c r="AE202" s="292" t="s">
        <v>3</v>
      </c>
      <c r="AF202" s="293" t="s">
        <v>2</v>
      </c>
      <c r="AH202" s="377"/>
    </row>
    <row r="203" spans="1:34" ht="12.75" customHeight="1">
      <c r="A203" s="845"/>
      <c r="B203" s="807" t="s">
        <v>283</v>
      </c>
      <c r="C203" s="808"/>
      <c r="D203" s="808"/>
      <c r="E203" s="809"/>
      <c r="F203" s="859"/>
      <c r="G203" s="861"/>
      <c r="H203" s="791"/>
      <c r="I203" s="791"/>
      <c r="J203" s="791"/>
      <c r="K203" s="791"/>
      <c r="L203" s="791"/>
      <c r="M203" s="791"/>
      <c r="N203" s="791"/>
      <c r="O203" s="791"/>
      <c r="P203" s="791"/>
      <c r="Q203" s="791"/>
      <c r="R203" s="791"/>
      <c r="S203" s="791"/>
      <c r="T203" s="791"/>
      <c r="U203" s="791"/>
      <c r="V203" s="791"/>
      <c r="W203" s="791"/>
      <c r="X203" s="460"/>
      <c r="Y203" s="267">
        <f>SUM(H202:W203)</f>
        <v>0</v>
      </c>
      <c r="Z203" s="253">
        <v>140</v>
      </c>
      <c r="AA203" s="270">
        <f>IF(z_kateg="высшая",AE203,AF203)</f>
        <v>20</v>
      </c>
      <c r="AE203" s="288">
        <v>30</v>
      </c>
      <c r="AF203" s="289">
        <v>20</v>
      </c>
      <c r="AH203" s="377"/>
    </row>
    <row r="204" spans="1:34" ht="10.5" customHeight="1">
      <c r="A204" s="281"/>
      <c r="B204" s="280"/>
      <c r="C204" s="280"/>
      <c r="D204" s="280"/>
      <c r="E204" s="280"/>
      <c r="F204" s="280"/>
      <c r="G204" s="194"/>
      <c r="H204" s="194"/>
      <c r="I204" s="194"/>
      <c r="J204" s="194"/>
      <c r="K204" s="194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460"/>
      <c r="Y204" s="359"/>
      <c r="AE204" s="288"/>
      <c r="AF204" s="289"/>
      <c r="AH204" s="377"/>
    </row>
    <row r="205" spans="1:45" ht="13.5">
      <c r="A205" s="358"/>
      <c r="B205" s="273"/>
      <c r="C205" s="273"/>
      <c r="D205" s="273"/>
      <c r="E205" s="272"/>
      <c r="F205" s="272"/>
      <c r="G205" s="272"/>
      <c r="H205" s="272"/>
      <c r="I205" s="272"/>
      <c r="J205" s="272"/>
      <c r="K205" s="272"/>
      <c r="T205" s="272"/>
      <c r="U205" s="272"/>
      <c r="V205" s="272"/>
      <c r="W205" s="272"/>
      <c r="X205" s="460"/>
      <c r="AH205" s="377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</row>
    <row r="206" spans="1:45" ht="15" customHeight="1">
      <c r="A206" s="1072" t="s">
        <v>211</v>
      </c>
      <c r="B206" s="952" t="s">
        <v>695</v>
      </c>
      <c r="C206" s="952"/>
      <c r="D206" s="952"/>
      <c r="E206" s="952"/>
      <c r="F206" s="952"/>
      <c r="G206" s="952"/>
      <c r="H206" s="952"/>
      <c r="I206" s="952"/>
      <c r="J206" s="952"/>
      <c r="K206" s="952"/>
      <c r="L206" s="952"/>
      <c r="M206" s="952"/>
      <c r="N206" s="952"/>
      <c r="O206" s="952"/>
      <c r="P206" s="952"/>
      <c r="Q206" s="952"/>
      <c r="R206" s="952"/>
      <c r="S206" s="952"/>
      <c r="T206" s="952"/>
      <c r="U206" s="952"/>
      <c r="V206" s="952"/>
      <c r="W206" s="952"/>
      <c r="X206" s="460"/>
      <c r="AD206" s="189"/>
      <c r="AG206" s="12"/>
      <c r="AH206" s="377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</row>
    <row r="207" spans="1:45" ht="6" customHeight="1">
      <c r="A207" s="1073"/>
      <c r="B207" s="952"/>
      <c r="C207" s="952"/>
      <c r="D207" s="952"/>
      <c r="E207" s="952"/>
      <c r="F207" s="952"/>
      <c r="G207" s="952"/>
      <c r="H207" s="952"/>
      <c r="I207" s="952"/>
      <c r="J207" s="952"/>
      <c r="K207" s="952"/>
      <c r="L207" s="952"/>
      <c r="M207" s="952"/>
      <c r="N207" s="952"/>
      <c r="O207" s="952"/>
      <c r="P207" s="952"/>
      <c r="Q207" s="952"/>
      <c r="R207" s="952"/>
      <c r="S207" s="952"/>
      <c r="T207" s="952"/>
      <c r="U207" s="952"/>
      <c r="V207" s="952"/>
      <c r="W207" s="952"/>
      <c r="X207" s="460"/>
      <c r="AD207" s="189"/>
      <c r="AG207" s="12"/>
      <c r="AH207" s="377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</row>
    <row r="208" spans="1:45" ht="4.5" customHeight="1" hidden="1">
      <c r="A208" s="1073"/>
      <c r="B208" s="952"/>
      <c r="C208" s="952"/>
      <c r="D208" s="952"/>
      <c r="E208" s="952"/>
      <c r="F208" s="952"/>
      <c r="G208" s="952"/>
      <c r="H208" s="952"/>
      <c r="I208" s="952"/>
      <c r="J208" s="952"/>
      <c r="K208" s="952"/>
      <c r="L208" s="952"/>
      <c r="M208" s="952"/>
      <c r="N208" s="952"/>
      <c r="O208" s="952"/>
      <c r="P208" s="952"/>
      <c r="Q208" s="952"/>
      <c r="R208" s="952"/>
      <c r="S208" s="952"/>
      <c r="T208" s="952"/>
      <c r="U208" s="952"/>
      <c r="V208" s="952"/>
      <c r="W208" s="952"/>
      <c r="X208" s="460"/>
      <c r="AD208" s="189"/>
      <c r="AG208" s="12"/>
      <c r="AH208" s="377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</row>
    <row r="209" spans="1:45" ht="12.75" customHeight="1">
      <c r="A209" s="1073"/>
      <c r="B209" s="852" t="s">
        <v>693</v>
      </c>
      <c r="C209" s="852"/>
      <c r="D209" s="852"/>
      <c r="E209" s="852"/>
      <c r="F209" s="852"/>
      <c r="G209" s="852"/>
      <c r="H209" s="852"/>
      <c r="I209" s="852"/>
      <c r="J209" s="852"/>
      <c r="K209" s="852"/>
      <c r="L209" s="852"/>
      <c r="M209" s="852"/>
      <c r="N209" s="852"/>
      <c r="O209" s="852"/>
      <c r="P209" s="852"/>
      <c r="Q209" s="852"/>
      <c r="R209" s="852"/>
      <c r="S209" s="852"/>
      <c r="T209" s="852"/>
      <c r="U209" s="852"/>
      <c r="V209" s="852"/>
      <c r="W209" s="852"/>
      <c r="X209" s="460"/>
      <c r="AD209" s="189"/>
      <c r="AG209" s="12"/>
      <c r="AH209" s="377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</row>
    <row r="210" spans="1:45" ht="13.5" customHeight="1">
      <c r="A210" s="1073"/>
      <c r="B210" s="852"/>
      <c r="C210" s="852"/>
      <c r="D210" s="852"/>
      <c r="E210" s="852"/>
      <c r="F210" s="852"/>
      <c r="G210" s="852"/>
      <c r="H210" s="852"/>
      <c r="I210" s="852"/>
      <c r="J210" s="852"/>
      <c r="K210" s="852"/>
      <c r="L210" s="852"/>
      <c r="M210" s="852"/>
      <c r="N210" s="852"/>
      <c r="O210" s="852"/>
      <c r="P210" s="852"/>
      <c r="Q210" s="852"/>
      <c r="R210" s="852"/>
      <c r="S210" s="852"/>
      <c r="T210" s="852"/>
      <c r="U210" s="852"/>
      <c r="V210" s="852"/>
      <c r="W210" s="852"/>
      <c r="X210" s="460"/>
      <c r="AD210" s="189"/>
      <c r="AG210" s="12"/>
      <c r="AH210" s="377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</row>
    <row r="211" spans="1:45" ht="13.5" customHeight="1">
      <c r="A211" s="1073"/>
      <c r="B211" s="852"/>
      <c r="C211" s="852"/>
      <c r="D211" s="852"/>
      <c r="E211" s="852"/>
      <c r="F211" s="852"/>
      <c r="G211" s="852"/>
      <c r="H211" s="852"/>
      <c r="I211" s="852"/>
      <c r="J211" s="852"/>
      <c r="K211" s="852"/>
      <c r="L211" s="852"/>
      <c r="M211" s="852"/>
      <c r="N211" s="852"/>
      <c r="O211" s="852"/>
      <c r="P211" s="852"/>
      <c r="Q211" s="852"/>
      <c r="R211" s="852"/>
      <c r="S211" s="852"/>
      <c r="T211" s="852"/>
      <c r="U211" s="852"/>
      <c r="V211" s="852"/>
      <c r="W211" s="852"/>
      <c r="X211" s="460"/>
      <c r="AD211" s="189"/>
      <c r="AG211" s="12"/>
      <c r="AH211" s="377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</row>
    <row r="212" spans="1:45" ht="13.5" customHeight="1">
      <c r="A212" s="1073"/>
      <c r="B212" s="852"/>
      <c r="C212" s="852"/>
      <c r="D212" s="852"/>
      <c r="E212" s="852"/>
      <c r="F212" s="852"/>
      <c r="G212" s="852"/>
      <c r="H212" s="852"/>
      <c r="I212" s="852"/>
      <c r="J212" s="852"/>
      <c r="K212" s="852"/>
      <c r="L212" s="852"/>
      <c r="M212" s="852"/>
      <c r="N212" s="852"/>
      <c r="O212" s="852"/>
      <c r="P212" s="852"/>
      <c r="Q212" s="852"/>
      <c r="R212" s="852"/>
      <c r="S212" s="852"/>
      <c r="T212" s="852"/>
      <c r="U212" s="852"/>
      <c r="V212" s="852"/>
      <c r="W212" s="852"/>
      <c r="X212" s="460"/>
      <c r="AD212" s="189"/>
      <c r="AG212" s="12"/>
      <c r="AH212" s="377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</row>
    <row r="213" spans="1:45" ht="12.75" customHeight="1">
      <c r="A213" s="1073"/>
      <c r="B213" s="852"/>
      <c r="C213" s="852"/>
      <c r="D213" s="852"/>
      <c r="E213" s="852"/>
      <c r="F213" s="852"/>
      <c r="G213" s="852"/>
      <c r="H213" s="852"/>
      <c r="I213" s="852"/>
      <c r="J213" s="852"/>
      <c r="K213" s="852"/>
      <c r="L213" s="852"/>
      <c r="M213" s="852"/>
      <c r="N213" s="852"/>
      <c r="O213" s="852"/>
      <c r="P213" s="852"/>
      <c r="Q213" s="852"/>
      <c r="R213" s="852"/>
      <c r="S213" s="852"/>
      <c r="T213" s="852"/>
      <c r="U213" s="852"/>
      <c r="V213" s="852"/>
      <c r="W213" s="852"/>
      <c r="X213" s="460"/>
      <c r="AD213" s="189"/>
      <c r="AG213" s="12"/>
      <c r="AH213" s="377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</row>
    <row r="214" spans="1:45" ht="14.25" customHeight="1">
      <c r="A214" s="1073"/>
      <c r="B214" s="852" t="s">
        <v>694</v>
      </c>
      <c r="C214" s="852"/>
      <c r="D214" s="852"/>
      <c r="E214" s="852"/>
      <c r="F214" s="852"/>
      <c r="G214" s="852"/>
      <c r="H214" s="852"/>
      <c r="I214" s="852"/>
      <c r="J214" s="852"/>
      <c r="K214" s="852"/>
      <c r="L214" s="852"/>
      <c r="M214" s="852"/>
      <c r="N214" s="852"/>
      <c r="O214" s="852"/>
      <c r="P214" s="852"/>
      <c r="Q214" s="852"/>
      <c r="R214" s="852"/>
      <c r="S214" s="852"/>
      <c r="T214" s="852"/>
      <c r="U214" s="852"/>
      <c r="V214" s="852"/>
      <c r="W214" s="852"/>
      <c r="X214" s="460"/>
      <c r="AD214" s="189"/>
      <c r="AG214" s="12"/>
      <c r="AH214" s="377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</row>
    <row r="215" spans="1:45" ht="14.25" customHeight="1">
      <c r="A215" s="1073"/>
      <c r="B215" s="852"/>
      <c r="C215" s="852"/>
      <c r="D215" s="852"/>
      <c r="E215" s="852"/>
      <c r="F215" s="852"/>
      <c r="G215" s="852"/>
      <c r="H215" s="852"/>
      <c r="I215" s="852"/>
      <c r="J215" s="852"/>
      <c r="K215" s="852"/>
      <c r="L215" s="852"/>
      <c r="M215" s="852"/>
      <c r="N215" s="852"/>
      <c r="O215" s="852"/>
      <c r="P215" s="852"/>
      <c r="Q215" s="852"/>
      <c r="R215" s="852"/>
      <c r="S215" s="852"/>
      <c r="T215" s="852"/>
      <c r="U215" s="852"/>
      <c r="V215" s="852"/>
      <c r="W215" s="852"/>
      <c r="X215" s="460"/>
      <c r="AD215" s="189"/>
      <c r="AG215" s="12"/>
      <c r="AH215" s="377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</row>
    <row r="216" spans="1:45" ht="14.25" customHeight="1">
      <c r="A216" s="1073"/>
      <c r="B216" s="852"/>
      <c r="C216" s="852"/>
      <c r="D216" s="852"/>
      <c r="E216" s="852"/>
      <c r="F216" s="852"/>
      <c r="G216" s="852"/>
      <c r="H216" s="852"/>
      <c r="I216" s="852"/>
      <c r="J216" s="852"/>
      <c r="K216" s="852"/>
      <c r="L216" s="852"/>
      <c r="M216" s="852"/>
      <c r="N216" s="852"/>
      <c r="O216" s="852"/>
      <c r="P216" s="852"/>
      <c r="Q216" s="852"/>
      <c r="R216" s="852"/>
      <c r="S216" s="852"/>
      <c r="T216" s="852"/>
      <c r="U216" s="852"/>
      <c r="V216" s="852"/>
      <c r="W216" s="852"/>
      <c r="X216" s="460"/>
      <c r="AD216" s="189"/>
      <c r="AG216" s="12"/>
      <c r="AH216" s="377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</row>
    <row r="217" spans="1:34" ht="13.5">
      <c r="A217" s="812" t="s">
        <v>205</v>
      </c>
      <c r="B217" s="798" t="s">
        <v>206</v>
      </c>
      <c r="C217" s="799"/>
      <c r="D217" s="799"/>
      <c r="E217" s="799"/>
      <c r="F217" s="799"/>
      <c r="G217" s="799"/>
      <c r="H217" s="799"/>
      <c r="I217" s="815" t="s">
        <v>207</v>
      </c>
      <c r="J217" s="816"/>
      <c r="K217" s="816"/>
      <c r="L217" s="816"/>
      <c r="M217" s="816"/>
      <c r="N217" s="816"/>
      <c r="O217" s="816"/>
      <c r="P217" s="816"/>
      <c r="Q217" s="816"/>
      <c r="R217" s="816"/>
      <c r="S217" s="816"/>
      <c r="T217" s="816"/>
      <c r="U217" s="816"/>
      <c r="V217" s="816"/>
      <c r="W217" s="817"/>
      <c r="X217" s="377"/>
      <c r="AE217" s="664"/>
      <c r="AF217" s="664"/>
      <c r="AH217" s="665"/>
    </row>
    <row r="218" spans="1:34" ht="14.25" customHeight="1">
      <c r="A218" s="813"/>
      <c r="B218" s="801"/>
      <c r="C218" s="802"/>
      <c r="D218" s="802"/>
      <c r="E218" s="802"/>
      <c r="F218" s="802"/>
      <c r="G218" s="802"/>
      <c r="H218" s="802"/>
      <c r="I218" s="818" t="s">
        <v>208</v>
      </c>
      <c r="J218" s="819"/>
      <c r="K218" s="819"/>
      <c r="L218" s="819"/>
      <c r="M218" s="819"/>
      <c r="N218" s="819"/>
      <c r="O218" s="819"/>
      <c r="P218" s="819"/>
      <c r="Q218" s="819"/>
      <c r="R218" s="819"/>
      <c r="S218" s="819"/>
      <c r="T218" s="819"/>
      <c r="U218" s="819"/>
      <c r="V218" s="819"/>
      <c r="W218" s="820"/>
      <c r="X218" s="377"/>
      <c r="AE218" s="664"/>
      <c r="AF218" s="664"/>
      <c r="AH218" s="665"/>
    </row>
    <row r="219" spans="1:34" ht="14.25" customHeight="1">
      <c r="A219" s="814"/>
      <c r="B219" s="804"/>
      <c r="C219" s="805"/>
      <c r="D219" s="805"/>
      <c r="E219" s="805"/>
      <c r="F219" s="805"/>
      <c r="G219" s="805"/>
      <c r="H219" s="805"/>
      <c r="I219" s="887">
        <v>0</v>
      </c>
      <c r="J219" s="887"/>
      <c r="K219" s="887"/>
      <c r="L219" s="887"/>
      <c r="M219" s="887"/>
      <c r="N219" s="887">
        <v>10</v>
      </c>
      <c r="O219" s="887"/>
      <c r="P219" s="887"/>
      <c r="Q219" s="887"/>
      <c r="R219" s="887"/>
      <c r="S219" s="887">
        <v>20</v>
      </c>
      <c r="T219" s="887"/>
      <c r="U219" s="887"/>
      <c r="V219" s="887"/>
      <c r="W219" s="887"/>
      <c r="X219" s="377"/>
      <c r="AE219" s="664"/>
      <c r="AF219" s="664"/>
      <c r="AH219" s="665"/>
    </row>
    <row r="220" spans="1:34" ht="12.75" customHeight="1">
      <c r="A220" s="769" t="s">
        <v>426</v>
      </c>
      <c r="B220" s="772" t="s">
        <v>669</v>
      </c>
      <c r="C220" s="773"/>
      <c r="D220" s="773"/>
      <c r="E220" s="773"/>
      <c r="F220" s="773"/>
      <c r="G220" s="773"/>
      <c r="H220" s="774"/>
      <c r="I220" s="781" t="s">
        <v>670</v>
      </c>
      <c r="J220" s="782"/>
      <c r="K220" s="782"/>
      <c r="L220" s="782"/>
      <c r="M220" s="783"/>
      <c r="N220" s="781" t="s">
        <v>671</v>
      </c>
      <c r="O220" s="782"/>
      <c r="P220" s="782"/>
      <c r="Q220" s="782"/>
      <c r="R220" s="783"/>
      <c r="S220" s="781" t="s">
        <v>672</v>
      </c>
      <c r="T220" s="782"/>
      <c r="U220" s="782"/>
      <c r="V220" s="782"/>
      <c r="W220" s="783"/>
      <c r="X220" s="377"/>
      <c r="AE220" s="664"/>
      <c r="AF220" s="664"/>
      <c r="AH220" s="665"/>
    </row>
    <row r="221" spans="1:34" ht="12.75" customHeight="1">
      <c r="A221" s="770"/>
      <c r="B221" s="775"/>
      <c r="C221" s="776"/>
      <c r="D221" s="776"/>
      <c r="E221" s="776"/>
      <c r="F221" s="776"/>
      <c r="G221" s="776"/>
      <c r="H221" s="777"/>
      <c r="I221" s="784"/>
      <c r="J221" s="785"/>
      <c r="K221" s="785"/>
      <c r="L221" s="785"/>
      <c r="M221" s="786"/>
      <c r="N221" s="784"/>
      <c r="O221" s="785"/>
      <c r="P221" s="785"/>
      <c r="Q221" s="785"/>
      <c r="R221" s="786"/>
      <c r="S221" s="784"/>
      <c r="T221" s="785"/>
      <c r="U221" s="785"/>
      <c r="V221" s="785"/>
      <c r="W221" s="786"/>
      <c r="X221" s="377"/>
      <c r="AE221" s="664"/>
      <c r="AF221" s="664"/>
      <c r="AH221" s="665"/>
    </row>
    <row r="222" spans="1:34" ht="12.75" customHeight="1">
      <c r="A222" s="770"/>
      <c r="B222" s="775"/>
      <c r="C222" s="776"/>
      <c r="D222" s="776"/>
      <c r="E222" s="776"/>
      <c r="F222" s="776"/>
      <c r="G222" s="776"/>
      <c r="H222" s="777"/>
      <c r="I222" s="784"/>
      <c r="J222" s="785"/>
      <c r="K222" s="785"/>
      <c r="L222" s="785"/>
      <c r="M222" s="786"/>
      <c r="N222" s="784"/>
      <c r="O222" s="785"/>
      <c r="P222" s="785"/>
      <c r="Q222" s="785"/>
      <c r="R222" s="786"/>
      <c r="S222" s="784"/>
      <c r="T222" s="785"/>
      <c r="U222" s="785"/>
      <c r="V222" s="785"/>
      <c r="W222" s="786"/>
      <c r="X222" s="377"/>
      <c r="AE222" s="664"/>
      <c r="AF222" s="664"/>
      <c r="AH222" s="665"/>
    </row>
    <row r="223" spans="1:34" ht="12.75" customHeight="1">
      <c r="A223" s="770"/>
      <c r="B223" s="775"/>
      <c r="C223" s="776"/>
      <c r="D223" s="776"/>
      <c r="E223" s="776"/>
      <c r="F223" s="776"/>
      <c r="G223" s="776"/>
      <c r="H223" s="777"/>
      <c r="I223" s="784"/>
      <c r="J223" s="785"/>
      <c r="K223" s="785"/>
      <c r="L223" s="785"/>
      <c r="M223" s="786"/>
      <c r="N223" s="784"/>
      <c r="O223" s="785"/>
      <c r="P223" s="785"/>
      <c r="Q223" s="785"/>
      <c r="R223" s="786"/>
      <c r="S223" s="784"/>
      <c r="T223" s="785"/>
      <c r="U223" s="785"/>
      <c r="V223" s="785"/>
      <c r="W223" s="786"/>
      <c r="X223" s="377"/>
      <c r="AE223" s="664"/>
      <c r="AF223" s="664"/>
      <c r="AH223" s="665"/>
    </row>
    <row r="224" spans="1:34" ht="0.75" customHeight="1">
      <c r="A224" s="770"/>
      <c r="B224" s="775"/>
      <c r="C224" s="776"/>
      <c r="D224" s="776"/>
      <c r="E224" s="776"/>
      <c r="F224" s="776"/>
      <c r="G224" s="776"/>
      <c r="H224" s="777"/>
      <c r="I224" s="787"/>
      <c r="J224" s="788"/>
      <c r="K224" s="788"/>
      <c r="L224" s="788"/>
      <c r="M224" s="789"/>
      <c r="N224" s="787"/>
      <c r="O224" s="788"/>
      <c r="P224" s="788"/>
      <c r="Q224" s="788"/>
      <c r="R224" s="789"/>
      <c r="S224" s="787"/>
      <c r="T224" s="788"/>
      <c r="U224" s="788"/>
      <c r="V224" s="788"/>
      <c r="W224" s="789"/>
      <c r="X224" s="377"/>
      <c r="Y224" s="12"/>
      <c r="Z224" s="243"/>
      <c r="AB224" s="279"/>
      <c r="AC224" s="12"/>
      <c r="AD224" s="12"/>
      <c r="AE224" s="664"/>
      <c r="AF224" s="664"/>
      <c r="AH224" s="665"/>
    </row>
    <row r="225" spans="1:34" ht="12.75" customHeight="1">
      <c r="A225" s="770"/>
      <c r="B225" s="775"/>
      <c r="C225" s="776"/>
      <c r="D225" s="776"/>
      <c r="E225" s="776"/>
      <c r="F225" s="776"/>
      <c r="G225" s="776"/>
      <c r="H225" s="777"/>
      <c r="I225" s="790">
        <f>IF(Y226=0,IF(FIO="","",0),"")</f>
      </c>
      <c r="J225" s="790"/>
      <c r="K225" s="790"/>
      <c r="L225" s="790"/>
      <c r="M225" s="790"/>
      <c r="N225" s="791"/>
      <c r="O225" s="791"/>
      <c r="P225" s="791"/>
      <c r="Q225" s="791"/>
      <c r="R225" s="791"/>
      <c r="S225" s="791"/>
      <c r="T225" s="791"/>
      <c r="U225" s="791"/>
      <c r="V225" s="791"/>
      <c r="W225" s="791"/>
      <c r="X225" s="377"/>
      <c r="Z225" s="251" t="s">
        <v>210</v>
      </c>
      <c r="AE225" s="664"/>
      <c r="AF225" s="664"/>
      <c r="AH225" s="665"/>
    </row>
    <row r="226" spans="1:34" ht="12.75" customHeight="1">
      <c r="A226" s="771"/>
      <c r="B226" s="778"/>
      <c r="C226" s="779"/>
      <c r="D226" s="779"/>
      <c r="E226" s="779"/>
      <c r="F226" s="779"/>
      <c r="G226" s="779"/>
      <c r="H226" s="780"/>
      <c r="I226" s="790"/>
      <c r="J226" s="790"/>
      <c r="K226" s="790"/>
      <c r="L226" s="790"/>
      <c r="M226" s="790"/>
      <c r="N226" s="791"/>
      <c r="O226" s="791"/>
      <c r="P226" s="791"/>
      <c r="Q226" s="791"/>
      <c r="R226" s="791"/>
      <c r="S226" s="791"/>
      <c r="T226" s="791"/>
      <c r="U226" s="791"/>
      <c r="V226" s="791"/>
      <c r="W226" s="791"/>
      <c r="X226" s="377"/>
      <c r="Y226" s="267">
        <f>MAX(N225:W226)</f>
        <v>0</v>
      </c>
      <c r="Z226" s="253">
        <v>20</v>
      </c>
      <c r="AE226" s="664"/>
      <c r="AF226" s="664"/>
      <c r="AH226" s="665"/>
    </row>
    <row r="227" spans="1:34" ht="12.75" customHeight="1">
      <c r="A227" s="769" t="s">
        <v>673</v>
      </c>
      <c r="B227" s="772" t="s">
        <v>706</v>
      </c>
      <c r="C227" s="773"/>
      <c r="D227" s="773"/>
      <c r="E227" s="773"/>
      <c r="F227" s="773"/>
      <c r="G227" s="773"/>
      <c r="H227" s="774"/>
      <c r="I227" s="781" t="s">
        <v>674</v>
      </c>
      <c r="J227" s="782"/>
      <c r="K227" s="782"/>
      <c r="L227" s="782"/>
      <c r="M227" s="783"/>
      <c r="N227" s="781" t="s">
        <v>676</v>
      </c>
      <c r="O227" s="782"/>
      <c r="P227" s="782"/>
      <c r="Q227" s="782"/>
      <c r="R227" s="783"/>
      <c r="S227" s="781" t="s">
        <v>675</v>
      </c>
      <c r="T227" s="782"/>
      <c r="U227" s="782"/>
      <c r="V227" s="782"/>
      <c r="W227" s="783"/>
      <c r="X227" s="377"/>
      <c r="AE227" s="664"/>
      <c r="AF227" s="664"/>
      <c r="AH227" s="665"/>
    </row>
    <row r="228" spans="1:34" ht="12.75" customHeight="1">
      <c r="A228" s="770"/>
      <c r="B228" s="775"/>
      <c r="C228" s="776"/>
      <c r="D228" s="776"/>
      <c r="E228" s="776"/>
      <c r="F228" s="776"/>
      <c r="G228" s="776"/>
      <c r="H228" s="777"/>
      <c r="I228" s="784"/>
      <c r="J228" s="785"/>
      <c r="K228" s="785"/>
      <c r="L228" s="785"/>
      <c r="M228" s="786"/>
      <c r="N228" s="784"/>
      <c r="O228" s="785"/>
      <c r="P228" s="785"/>
      <c r="Q228" s="785"/>
      <c r="R228" s="786"/>
      <c r="S228" s="784"/>
      <c r="T228" s="785"/>
      <c r="U228" s="785"/>
      <c r="V228" s="785"/>
      <c r="W228" s="786"/>
      <c r="X228" s="377"/>
      <c r="AE228" s="664"/>
      <c r="AF228" s="664"/>
      <c r="AH228" s="665"/>
    </row>
    <row r="229" spans="1:34" ht="12.75" customHeight="1" hidden="1">
      <c r="A229" s="770"/>
      <c r="B229" s="775"/>
      <c r="C229" s="776"/>
      <c r="D229" s="776"/>
      <c r="E229" s="776"/>
      <c r="F229" s="776"/>
      <c r="G229" s="776"/>
      <c r="H229" s="777"/>
      <c r="I229" s="784"/>
      <c r="J229" s="785"/>
      <c r="K229" s="785"/>
      <c r="L229" s="785"/>
      <c r="M229" s="786"/>
      <c r="N229" s="784"/>
      <c r="O229" s="785"/>
      <c r="P229" s="785"/>
      <c r="Q229" s="785"/>
      <c r="R229" s="786"/>
      <c r="S229" s="784"/>
      <c r="T229" s="785"/>
      <c r="U229" s="785"/>
      <c r="V229" s="785"/>
      <c r="W229" s="786"/>
      <c r="X229" s="377"/>
      <c r="AE229" s="664"/>
      <c r="AF229" s="664"/>
      <c r="AH229" s="665"/>
    </row>
    <row r="230" spans="1:34" ht="12.75" customHeight="1" hidden="1">
      <c r="A230" s="770"/>
      <c r="B230" s="775"/>
      <c r="C230" s="776"/>
      <c r="D230" s="776"/>
      <c r="E230" s="776"/>
      <c r="F230" s="776"/>
      <c r="G230" s="776"/>
      <c r="H230" s="777"/>
      <c r="I230" s="784"/>
      <c r="J230" s="785"/>
      <c r="K230" s="785"/>
      <c r="L230" s="785"/>
      <c r="M230" s="786"/>
      <c r="N230" s="784"/>
      <c r="O230" s="785"/>
      <c r="P230" s="785"/>
      <c r="Q230" s="785"/>
      <c r="R230" s="786"/>
      <c r="S230" s="784"/>
      <c r="T230" s="785"/>
      <c r="U230" s="785"/>
      <c r="V230" s="785"/>
      <c r="W230" s="786"/>
      <c r="X230" s="377"/>
      <c r="AE230" s="664"/>
      <c r="AF230" s="664"/>
      <c r="AH230" s="665"/>
    </row>
    <row r="231" spans="1:34" ht="12.75">
      <c r="A231" s="770"/>
      <c r="B231" s="775"/>
      <c r="C231" s="776"/>
      <c r="D231" s="776"/>
      <c r="E231" s="776"/>
      <c r="F231" s="776"/>
      <c r="G231" s="776"/>
      <c r="H231" s="777"/>
      <c r="I231" s="787"/>
      <c r="J231" s="788"/>
      <c r="K231" s="788"/>
      <c r="L231" s="788"/>
      <c r="M231" s="789"/>
      <c r="N231" s="787"/>
      <c r="O231" s="788"/>
      <c r="P231" s="788"/>
      <c r="Q231" s="788"/>
      <c r="R231" s="789"/>
      <c r="S231" s="787"/>
      <c r="T231" s="788"/>
      <c r="U231" s="788"/>
      <c r="V231" s="788"/>
      <c r="W231" s="789"/>
      <c r="X231" s="377"/>
      <c r="Y231" s="12"/>
      <c r="Z231" s="243"/>
      <c r="AB231" s="279"/>
      <c r="AC231" s="12"/>
      <c r="AD231" s="12"/>
      <c r="AE231" s="664"/>
      <c r="AF231" s="664"/>
      <c r="AH231" s="665"/>
    </row>
    <row r="232" spans="1:34" ht="12.75" customHeight="1">
      <c r="A232" s="770"/>
      <c r="B232" s="775"/>
      <c r="C232" s="776"/>
      <c r="D232" s="776"/>
      <c r="E232" s="776"/>
      <c r="F232" s="776"/>
      <c r="G232" s="776"/>
      <c r="H232" s="777"/>
      <c r="I232" s="790">
        <f>IF(Y233=0,IF(FIO="","",0),"")</f>
      </c>
      <c r="J232" s="790"/>
      <c r="K232" s="790"/>
      <c r="L232" s="790"/>
      <c r="M232" s="790"/>
      <c r="N232" s="791"/>
      <c r="O232" s="791"/>
      <c r="P232" s="791"/>
      <c r="Q232" s="791"/>
      <c r="R232" s="791"/>
      <c r="S232" s="791"/>
      <c r="T232" s="791"/>
      <c r="U232" s="791"/>
      <c r="V232" s="791"/>
      <c r="W232" s="791"/>
      <c r="X232" s="377"/>
      <c r="Z232" s="251" t="s">
        <v>210</v>
      </c>
      <c r="AE232" s="664"/>
      <c r="AF232" s="664"/>
      <c r="AH232" s="665"/>
    </row>
    <row r="233" spans="1:34" ht="12.75" customHeight="1">
      <c r="A233" s="771"/>
      <c r="B233" s="778"/>
      <c r="C233" s="779"/>
      <c r="D233" s="779"/>
      <c r="E233" s="779"/>
      <c r="F233" s="779"/>
      <c r="G233" s="779"/>
      <c r="H233" s="780"/>
      <c r="I233" s="790"/>
      <c r="J233" s="790"/>
      <c r="K233" s="790"/>
      <c r="L233" s="790"/>
      <c r="M233" s="790"/>
      <c r="N233" s="791"/>
      <c r="O233" s="791"/>
      <c r="P233" s="791"/>
      <c r="Q233" s="791"/>
      <c r="R233" s="791"/>
      <c r="S233" s="791"/>
      <c r="T233" s="791"/>
      <c r="U233" s="791"/>
      <c r="V233" s="791"/>
      <c r="W233" s="791"/>
      <c r="X233" s="377"/>
      <c r="Y233" s="267">
        <f>MAX(N232:W233)</f>
        <v>0</v>
      </c>
      <c r="Z233" s="253">
        <v>20</v>
      </c>
      <c r="AE233" s="664"/>
      <c r="AF233" s="664"/>
      <c r="AH233" s="665"/>
    </row>
    <row r="234" spans="1:34" ht="12.75" customHeight="1">
      <c r="A234" s="769" t="s">
        <v>677</v>
      </c>
      <c r="B234" s="772" t="s">
        <v>707</v>
      </c>
      <c r="C234" s="773"/>
      <c r="D234" s="773"/>
      <c r="E234" s="773"/>
      <c r="F234" s="773"/>
      <c r="G234" s="773"/>
      <c r="H234" s="774"/>
      <c r="I234" s="781" t="s">
        <v>674</v>
      </c>
      <c r="J234" s="782"/>
      <c r="K234" s="782"/>
      <c r="L234" s="782"/>
      <c r="M234" s="783"/>
      <c r="N234" s="781" t="s">
        <v>676</v>
      </c>
      <c r="O234" s="782"/>
      <c r="P234" s="782"/>
      <c r="Q234" s="782"/>
      <c r="R234" s="783"/>
      <c r="S234" s="781" t="s">
        <v>675</v>
      </c>
      <c r="T234" s="782"/>
      <c r="U234" s="782"/>
      <c r="V234" s="782"/>
      <c r="W234" s="783"/>
      <c r="X234" s="377"/>
      <c r="AE234" s="664"/>
      <c r="AF234" s="664"/>
      <c r="AH234" s="665"/>
    </row>
    <row r="235" spans="1:34" ht="12.75" customHeight="1">
      <c r="A235" s="770"/>
      <c r="B235" s="775"/>
      <c r="C235" s="776"/>
      <c r="D235" s="776"/>
      <c r="E235" s="776"/>
      <c r="F235" s="776"/>
      <c r="G235" s="776"/>
      <c r="H235" s="777"/>
      <c r="I235" s="784"/>
      <c r="J235" s="785"/>
      <c r="K235" s="785"/>
      <c r="L235" s="785"/>
      <c r="M235" s="786"/>
      <c r="N235" s="784"/>
      <c r="O235" s="785"/>
      <c r="P235" s="785"/>
      <c r="Q235" s="785"/>
      <c r="R235" s="786"/>
      <c r="S235" s="784"/>
      <c r="T235" s="785"/>
      <c r="U235" s="785"/>
      <c r="V235" s="785"/>
      <c r="W235" s="786"/>
      <c r="X235" s="377"/>
      <c r="AE235" s="664"/>
      <c r="AF235" s="664"/>
      <c r="AH235" s="665"/>
    </row>
    <row r="236" spans="1:34" ht="12.75" customHeight="1" hidden="1">
      <c r="A236" s="770"/>
      <c r="B236" s="775"/>
      <c r="C236" s="776"/>
      <c r="D236" s="776"/>
      <c r="E236" s="776"/>
      <c r="F236" s="776"/>
      <c r="G236" s="776"/>
      <c r="H236" s="777"/>
      <c r="I236" s="784"/>
      <c r="J236" s="785"/>
      <c r="K236" s="785"/>
      <c r="L236" s="785"/>
      <c r="M236" s="786"/>
      <c r="N236" s="784"/>
      <c r="O236" s="785"/>
      <c r="P236" s="785"/>
      <c r="Q236" s="785"/>
      <c r="R236" s="786"/>
      <c r="S236" s="784"/>
      <c r="T236" s="785"/>
      <c r="U236" s="785"/>
      <c r="V236" s="785"/>
      <c r="W236" s="786"/>
      <c r="X236" s="377"/>
      <c r="AE236" s="664"/>
      <c r="AF236" s="664"/>
      <c r="AH236" s="665"/>
    </row>
    <row r="237" spans="1:34" ht="12.75" customHeight="1" hidden="1">
      <c r="A237" s="770"/>
      <c r="B237" s="775"/>
      <c r="C237" s="776"/>
      <c r="D237" s="776"/>
      <c r="E237" s="776"/>
      <c r="F237" s="776"/>
      <c r="G237" s="776"/>
      <c r="H237" s="777"/>
      <c r="I237" s="784"/>
      <c r="J237" s="785"/>
      <c r="K237" s="785"/>
      <c r="L237" s="785"/>
      <c r="M237" s="786"/>
      <c r="N237" s="784"/>
      <c r="O237" s="785"/>
      <c r="P237" s="785"/>
      <c r="Q237" s="785"/>
      <c r="R237" s="786"/>
      <c r="S237" s="784"/>
      <c r="T237" s="785"/>
      <c r="U237" s="785"/>
      <c r="V237" s="785"/>
      <c r="W237" s="786"/>
      <c r="X237" s="377"/>
      <c r="AE237" s="664"/>
      <c r="AF237" s="664"/>
      <c r="AH237" s="665"/>
    </row>
    <row r="238" spans="1:34" ht="12.75">
      <c r="A238" s="770"/>
      <c r="B238" s="775"/>
      <c r="C238" s="776"/>
      <c r="D238" s="776"/>
      <c r="E238" s="776"/>
      <c r="F238" s="776"/>
      <c r="G238" s="776"/>
      <c r="H238" s="777"/>
      <c r="I238" s="787"/>
      <c r="J238" s="788"/>
      <c r="K238" s="788"/>
      <c r="L238" s="788"/>
      <c r="M238" s="789"/>
      <c r="N238" s="787"/>
      <c r="O238" s="788"/>
      <c r="P238" s="788"/>
      <c r="Q238" s="788"/>
      <c r="R238" s="789"/>
      <c r="S238" s="787"/>
      <c r="T238" s="788"/>
      <c r="U238" s="788"/>
      <c r="V238" s="788"/>
      <c r="W238" s="789"/>
      <c r="X238" s="377"/>
      <c r="Y238" s="12"/>
      <c r="Z238" s="243"/>
      <c r="AB238" s="279"/>
      <c r="AC238" s="12"/>
      <c r="AD238" s="12"/>
      <c r="AE238" s="664"/>
      <c r="AF238" s="664"/>
      <c r="AH238" s="665"/>
    </row>
    <row r="239" spans="1:34" ht="12.75" customHeight="1">
      <c r="A239" s="770"/>
      <c r="B239" s="775"/>
      <c r="C239" s="776"/>
      <c r="D239" s="776"/>
      <c r="E239" s="776"/>
      <c r="F239" s="776"/>
      <c r="G239" s="776"/>
      <c r="H239" s="777"/>
      <c r="I239" s="790">
        <f>IF(Y240=0,IF(FIO="","",0),"")</f>
      </c>
      <c r="J239" s="790"/>
      <c r="K239" s="790"/>
      <c r="L239" s="790"/>
      <c r="M239" s="790"/>
      <c r="N239" s="791"/>
      <c r="O239" s="791"/>
      <c r="P239" s="791"/>
      <c r="Q239" s="791"/>
      <c r="R239" s="791"/>
      <c r="S239" s="791"/>
      <c r="T239" s="791"/>
      <c r="U239" s="791"/>
      <c r="V239" s="791"/>
      <c r="W239" s="791"/>
      <c r="X239" s="377"/>
      <c r="Z239" s="251" t="s">
        <v>210</v>
      </c>
      <c r="AE239" s="664"/>
      <c r="AF239" s="664"/>
      <c r="AH239" s="665"/>
    </row>
    <row r="240" spans="1:34" ht="12.75" customHeight="1">
      <c r="A240" s="771"/>
      <c r="B240" s="778"/>
      <c r="C240" s="779"/>
      <c r="D240" s="779"/>
      <c r="E240" s="779"/>
      <c r="F240" s="779"/>
      <c r="G240" s="779"/>
      <c r="H240" s="780"/>
      <c r="I240" s="790"/>
      <c r="J240" s="790"/>
      <c r="K240" s="790"/>
      <c r="L240" s="790"/>
      <c r="M240" s="790"/>
      <c r="N240" s="791"/>
      <c r="O240" s="791"/>
      <c r="P240" s="791"/>
      <c r="Q240" s="791"/>
      <c r="R240" s="791"/>
      <c r="S240" s="791"/>
      <c r="T240" s="791"/>
      <c r="U240" s="791"/>
      <c r="V240" s="791"/>
      <c r="W240" s="791"/>
      <c r="X240" s="377"/>
      <c r="Y240" s="267">
        <f>MAX(N239:W240)</f>
        <v>0</v>
      </c>
      <c r="Z240" s="253">
        <v>20</v>
      </c>
      <c r="AE240" s="664"/>
      <c r="AF240" s="664"/>
      <c r="AH240" s="665"/>
    </row>
    <row r="241" spans="1:34" ht="12.75" customHeight="1">
      <c r="A241" s="769" t="s">
        <v>678</v>
      </c>
      <c r="B241" s="772" t="s">
        <v>680</v>
      </c>
      <c r="C241" s="773"/>
      <c r="D241" s="773"/>
      <c r="E241" s="773"/>
      <c r="F241" s="773"/>
      <c r="G241" s="773"/>
      <c r="H241" s="774"/>
      <c r="I241" s="781" t="s">
        <v>674</v>
      </c>
      <c r="J241" s="782"/>
      <c r="K241" s="782"/>
      <c r="L241" s="782"/>
      <c r="M241" s="783"/>
      <c r="N241" s="781" t="s">
        <v>676</v>
      </c>
      <c r="O241" s="782"/>
      <c r="P241" s="782"/>
      <c r="Q241" s="782"/>
      <c r="R241" s="783"/>
      <c r="S241" s="781" t="s">
        <v>675</v>
      </c>
      <c r="T241" s="782"/>
      <c r="U241" s="782"/>
      <c r="V241" s="782"/>
      <c r="W241" s="783"/>
      <c r="X241" s="377"/>
      <c r="AE241" s="664"/>
      <c r="AF241" s="664"/>
      <c r="AH241" s="665"/>
    </row>
    <row r="242" spans="1:34" ht="12" customHeight="1">
      <c r="A242" s="770"/>
      <c r="B242" s="775"/>
      <c r="C242" s="776"/>
      <c r="D242" s="776"/>
      <c r="E242" s="776"/>
      <c r="F242" s="776"/>
      <c r="G242" s="776"/>
      <c r="H242" s="777"/>
      <c r="I242" s="784"/>
      <c r="J242" s="785"/>
      <c r="K242" s="785"/>
      <c r="L242" s="785"/>
      <c r="M242" s="786"/>
      <c r="N242" s="784"/>
      <c r="O242" s="785"/>
      <c r="P242" s="785"/>
      <c r="Q242" s="785"/>
      <c r="R242" s="786"/>
      <c r="S242" s="784"/>
      <c r="T242" s="785"/>
      <c r="U242" s="785"/>
      <c r="V242" s="785"/>
      <c r="W242" s="786"/>
      <c r="X242" s="377"/>
      <c r="AE242" s="664"/>
      <c r="AF242" s="664"/>
      <c r="AH242" s="665"/>
    </row>
    <row r="243" spans="1:34" ht="12.75" customHeight="1" hidden="1">
      <c r="A243" s="770"/>
      <c r="B243" s="775"/>
      <c r="C243" s="776"/>
      <c r="D243" s="776"/>
      <c r="E243" s="776"/>
      <c r="F243" s="776"/>
      <c r="G243" s="776"/>
      <c r="H243" s="777"/>
      <c r="I243" s="784"/>
      <c r="J243" s="785"/>
      <c r="K243" s="785"/>
      <c r="L243" s="785"/>
      <c r="M243" s="786"/>
      <c r="N243" s="784"/>
      <c r="O243" s="785"/>
      <c r="P243" s="785"/>
      <c r="Q243" s="785"/>
      <c r="R243" s="786"/>
      <c r="S243" s="784"/>
      <c r="T243" s="785"/>
      <c r="U243" s="785"/>
      <c r="V243" s="785"/>
      <c r="W243" s="786"/>
      <c r="X243" s="377"/>
      <c r="AE243" s="664"/>
      <c r="AF243" s="664"/>
      <c r="AH243" s="665"/>
    </row>
    <row r="244" spans="1:34" ht="6.75" customHeight="1" hidden="1">
      <c r="A244" s="770"/>
      <c r="B244" s="775"/>
      <c r="C244" s="776"/>
      <c r="D244" s="776"/>
      <c r="E244" s="776"/>
      <c r="F244" s="776"/>
      <c r="G244" s="776"/>
      <c r="H244" s="777"/>
      <c r="I244" s="784"/>
      <c r="J244" s="785"/>
      <c r="K244" s="785"/>
      <c r="L244" s="785"/>
      <c r="M244" s="786"/>
      <c r="N244" s="784"/>
      <c r="O244" s="785"/>
      <c r="P244" s="785"/>
      <c r="Q244" s="785"/>
      <c r="R244" s="786"/>
      <c r="S244" s="784"/>
      <c r="T244" s="785"/>
      <c r="U244" s="785"/>
      <c r="V244" s="785"/>
      <c r="W244" s="786"/>
      <c r="X244" s="377"/>
      <c r="AE244" s="664"/>
      <c r="AF244" s="664"/>
      <c r="AH244" s="665"/>
    </row>
    <row r="245" spans="1:34" ht="12.75">
      <c r="A245" s="770"/>
      <c r="B245" s="775"/>
      <c r="C245" s="776"/>
      <c r="D245" s="776"/>
      <c r="E245" s="776"/>
      <c r="F245" s="776"/>
      <c r="G245" s="776"/>
      <c r="H245" s="777"/>
      <c r="I245" s="787"/>
      <c r="J245" s="788"/>
      <c r="K245" s="788"/>
      <c r="L245" s="788"/>
      <c r="M245" s="789"/>
      <c r="N245" s="787"/>
      <c r="O245" s="788"/>
      <c r="P245" s="788"/>
      <c r="Q245" s="788"/>
      <c r="R245" s="789"/>
      <c r="S245" s="787"/>
      <c r="T245" s="788"/>
      <c r="U245" s="788"/>
      <c r="V245" s="788"/>
      <c r="W245" s="789"/>
      <c r="X245" s="377"/>
      <c r="Y245" s="12"/>
      <c r="Z245" s="243"/>
      <c r="AB245" s="279"/>
      <c r="AC245" s="12"/>
      <c r="AD245" s="12"/>
      <c r="AE245" s="664"/>
      <c r="AF245" s="664"/>
      <c r="AH245" s="665"/>
    </row>
    <row r="246" spans="1:34" ht="12.75" customHeight="1">
      <c r="A246" s="770"/>
      <c r="B246" s="775"/>
      <c r="C246" s="776"/>
      <c r="D246" s="776"/>
      <c r="E246" s="776"/>
      <c r="F246" s="776"/>
      <c r="G246" s="776"/>
      <c r="H246" s="777"/>
      <c r="I246" s="790">
        <f>IF(Y247=0,IF(FIO="","",0),"")</f>
      </c>
      <c r="J246" s="790"/>
      <c r="K246" s="790"/>
      <c r="L246" s="790"/>
      <c r="M246" s="790"/>
      <c r="N246" s="791"/>
      <c r="O246" s="791"/>
      <c r="P246" s="791"/>
      <c r="Q246" s="791"/>
      <c r="R246" s="791"/>
      <c r="S246" s="791"/>
      <c r="T246" s="791"/>
      <c r="U246" s="791"/>
      <c r="V246" s="791"/>
      <c r="W246" s="791"/>
      <c r="X246" s="377"/>
      <c r="Z246" s="251" t="s">
        <v>210</v>
      </c>
      <c r="AE246" s="664"/>
      <c r="AF246" s="664"/>
      <c r="AH246" s="665"/>
    </row>
    <row r="247" spans="1:34" ht="12.75" customHeight="1">
      <c r="A247" s="771"/>
      <c r="B247" s="778"/>
      <c r="C247" s="779"/>
      <c r="D247" s="779"/>
      <c r="E247" s="779"/>
      <c r="F247" s="779"/>
      <c r="G247" s="779"/>
      <c r="H247" s="780"/>
      <c r="I247" s="790"/>
      <c r="J247" s="790"/>
      <c r="K247" s="790"/>
      <c r="L247" s="790"/>
      <c r="M247" s="790"/>
      <c r="N247" s="791"/>
      <c r="O247" s="791"/>
      <c r="P247" s="791"/>
      <c r="Q247" s="791"/>
      <c r="R247" s="791"/>
      <c r="S247" s="791"/>
      <c r="T247" s="791"/>
      <c r="U247" s="791"/>
      <c r="V247" s="791"/>
      <c r="W247" s="791"/>
      <c r="X247" s="377"/>
      <c r="Y247" s="267">
        <f>MAX(N246:W247)</f>
        <v>0</v>
      </c>
      <c r="Z247" s="253">
        <v>20</v>
      </c>
      <c r="AE247" s="664"/>
      <c r="AF247" s="664"/>
      <c r="AH247" s="665"/>
    </row>
    <row r="248" spans="1:34" ht="12.75" customHeight="1">
      <c r="A248" s="769" t="s">
        <v>679</v>
      </c>
      <c r="B248" s="772" t="s">
        <v>681</v>
      </c>
      <c r="C248" s="773"/>
      <c r="D248" s="773"/>
      <c r="E248" s="773"/>
      <c r="F248" s="773"/>
      <c r="G248" s="773"/>
      <c r="H248" s="774"/>
      <c r="I248" s="781" t="s">
        <v>674</v>
      </c>
      <c r="J248" s="782"/>
      <c r="K248" s="782"/>
      <c r="L248" s="782"/>
      <c r="M248" s="783"/>
      <c r="N248" s="781" t="s">
        <v>676</v>
      </c>
      <c r="O248" s="782"/>
      <c r="P248" s="782"/>
      <c r="Q248" s="782"/>
      <c r="R248" s="783"/>
      <c r="S248" s="781" t="s">
        <v>705</v>
      </c>
      <c r="T248" s="782"/>
      <c r="U248" s="782"/>
      <c r="V248" s="782"/>
      <c r="W248" s="783"/>
      <c r="X248" s="377"/>
      <c r="AE248" s="664"/>
      <c r="AF248" s="664"/>
      <c r="AH248" s="665"/>
    </row>
    <row r="249" spans="1:34" ht="12.75" customHeight="1">
      <c r="A249" s="770"/>
      <c r="B249" s="775"/>
      <c r="C249" s="776"/>
      <c r="D249" s="776"/>
      <c r="E249" s="776"/>
      <c r="F249" s="776"/>
      <c r="G249" s="776"/>
      <c r="H249" s="777"/>
      <c r="I249" s="784"/>
      <c r="J249" s="785"/>
      <c r="K249" s="785"/>
      <c r="L249" s="785"/>
      <c r="M249" s="786"/>
      <c r="N249" s="784"/>
      <c r="O249" s="785"/>
      <c r="P249" s="785"/>
      <c r="Q249" s="785"/>
      <c r="R249" s="786"/>
      <c r="S249" s="784"/>
      <c r="T249" s="785"/>
      <c r="U249" s="785"/>
      <c r="V249" s="785"/>
      <c r="W249" s="786"/>
      <c r="X249" s="377"/>
      <c r="AE249" s="664"/>
      <c r="AF249" s="664"/>
      <c r="AH249" s="665"/>
    </row>
    <row r="250" spans="1:34" ht="12.75" customHeight="1" hidden="1">
      <c r="A250" s="770"/>
      <c r="B250" s="775"/>
      <c r="C250" s="776"/>
      <c r="D250" s="776"/>
      <c r="E250" s="776"/>
      <c r="F250" s="776"/>
      <c r="G250" s="776"/>
      <c r="H250" s="777"/>
      <c r="I250" s="784"/>
      <c r="J250" s="785"/>
      <c r="K250" s="785"/>
      <c r="L250" s="785"/>
      <c r="M250" s="786"/>
      <c r="N250" s="784"/>
      <c r="O250" s="785"/>
      <c r="P250" s="785"/>
      <c r="Q250" s="785"/>
      <c r="R250" s="786"/>
      <c r="S250" s="784"/>
      <c r="T250" s="785"/>
      <c r="U250" s="785"/>
      <c r="V250" s="785"/>
      <c r="W250" s="786"/>
      <c r="X250" s="377"/>
      <c r="AE250" s="664"/>
      <c r="AF250" s="664"/>
      <c r="AH250" s="665"/>
    </row>
    <row r="251" spans="1:34" ht="12.75" customHeight="1" hidden="1">
      <c r="A251" s="770"/>
      <c r="B251" s="775"/>
      <c r="C251" s="776"/>
      <c r="D251" s="776"/>
      <c r="E251" s="776"/>
      <c r="F251" s="776"/>
      <c r="G251" s="776"/>
      <c r="H251" s="777"/>
      <c r="I251" s="784"/>
      <c r="J251" s="785"/>
      <c r="K251" s="785"/>
      <c r="L251" s="785"/>
      <c r="M251" s="786"/>
      <c r="N251" s="784"/>
      <c r="O251" s="785"/>
      <c r="P251" s="785"/>
      <c r="Q251" s="785"/>
      <c r="R251" s="786"/>
      <c r="S251" s="784"/>
      <c r="T251" s="785"/>
      <c r="U251" s="785"/>
      <c r="V251" s="785"/>
      <c r="W251" s="786"/>
      <c r="X251" s="377"/>
      <c r="AE251" s="664"/>
      <c r="AF251" s="664"/>
      <c r="AH251" s="665"/>
    </row>
    <row r="252" spans="1:34" ht="12.75">
      <c r="A252" s="770"/>
      <c r="B252" s="775"/>
      <c r="C252" s="776"/>
      <c r="D252" s="776"/>
      <c r="E252" s="776"/>
      <c r="F252" s="776"/>
      <c r="G252" s="776"/>
      <c r="H252" s="777"/>
      <c r="I252" s="787"/>
      <c r="J252" s="788"/>
      <c r="K252" s="788"/>
      <c r="L252" s="788"/>
      <c r="M252" s="789"/>
      <c r="N252" s="787"/>
      <c r="O252" s="788"/>
      <c r="P252" s="788"/>
      <c r="Q252" s="788"/>
      <c r="R252" s="789"/>
      <c r="S252" s="787"/>
      <c r="T252" s="788"/>
      <c r="U252" s="788"/>
      <c r="V252" s="788"/>
      <c r="W252" s="789"/>
      <c r="X252" s="377"/>
      <c r="Y252" s="12"/>
      <c r="Z252" s="243"/>
      <c r="AB252" s="279"/>
      <c r="AC252" s="12"/>
      <c r="AD252" s="12"/>
      <c r="AE252" s="664"/>
      <c r="AF252" s="664"/>
      <c r="AH252" s="665"/>
    </row>
    <row r="253" spans="1:34" ht="12.75" customHeight="1">
      <c r="A253" s="770"/>
      <c r="B253" s="775"/>
      <c r="C253" s="776"/>
      <c r="D253" s="776"/>
      <c r="E253" s="776"/>
      <c r="F253" s="776"/>
      <c r="G253" s="776"/>
      <c r="H253" s="777"/>
      <c r="I253" s="790">
        <f>IF(Y254=0,IF(FIO="","",0),"")</f>
      </c>
      <c r="J253" s="790"/>
      <c r="K253" s="790"/>
      <c r="L253" s="790"/>
      <c r="M253" s="790"/>
      <c r="N253" s="791"/>
      <c r="O253" s="791"/>
      <c r="P253" s="791"/>
      <c r="Q253" s="791"/>
      <c r="R253" s="791"/>
      <c r="S253" s="791"/>
      <c r="T253" s="791"/>
      <c r="U253" s="791"/>
      <c r="V253" s="791"/>
      <c r="W253" s="791"/>
      <c r="X253" s="377"/>
      <c r="Z253" s="251" t="s">
        <v>210</v>
      </c>
      <c r="AE253" s="664"/>
      <c r="AF253" s="664"/>
      <c r="AH253" s="665"/>
    </row>
    <row r="254" spans="1:34" ht="12.75" customHeight="1">
      <c r="A254" s="771"/>
      <c r="B254" s="778"/>
      <c r="C254" s="779"/>
      <c r="D254" s="779"/>
      <c r="E254" s="779"/>
      <c r="F254" s="779"/>
      <c r="G254" s="779"/>
      <c r="H254" s="780"/>
      <c r="I254" s="790"/>
      <c r="J254" s="790"/>
      <c r="K254" s="790"/>
      <c r="L254" s="790"/>
      <c r="M254" s="790"/>
      <c r="N254" s="791"/>
      <c r="O254" s="791"/>
      <c r="P254" s="791"/>
      <c r="Q254" s="791"/>
      <c r="R254" s="791"/>
      <c r="S254" s="791"/>
      <c r="T254" s="791"/>
      <c r="U254" s="791"/>
      <c r="V254" s="791"/>
      <c r="W254" s="791"/>
      <c r="X254" s="377"/>
      <c r="Y254" s="267">
        <f>MAX(N253:W254)</f>
        <v>0</v>
      </c>
      <c r="Z254" s="253">
        <v>20</v>
      </c>
      <c r="AE254" s="664"/>
      <c r="AF254" s="664"/>
      <c r="AH254" s="665"/>
    </row>
    <row r="255" spans="1:34" ht="13.5">
      <c r="A255" s="812" t="s">
        <v>205</v>
      </c>
      <c r="B255" s="798" t="s">
        <v>206</v>
      </c>
      <c r="C255" s="799"/>
      <c r="D255" s="799"/>
      <c r="E255" s="800"/>
      <c r="F255" s="815" t="s">
        <v>218</v>
      </c>
      <c r="G255" s="816"/>
      <c r="H255" s="816"/>
      <c r="I255" s="816"/>
      <c r="J255" s="816"/>
      <c r="K255" s="816"/>
      <c r="L255" s="816"/>
      <c r="M255" s="816"/>
      <c r="N255" s="816"/>
      <c r="O255" s="816"/>
      <c r="P255" s="816"/>
      <c r="Q255" s="816"/>
      <c r="R255" s="816"/>
      <c r="S255" s="816"/>
      <c r="T255" s="816"/>
      <c r="U255" s="816"/>
      <c r="V255" s="816"/>
      <c r="W255" s="817"/>
      <c r="X255" s="460"/>
      <c r="Z255" s="207"/>
      <c r="AA255" s="207"/>
      <c r="AH255" s="377"/>
    </row>
    <row r="256" spans="1:34" ht="14.25" customHeight="1">
      <c r="A256" s="813"/>
      <c r="B256" s="801"/>
      <c r="C256" s="802"/>
      <c r="D256" s="802"/>
      <c r="E256" s="803"/>
      <c r="F256" s="818" t="s">
        <v>212</v>
      </c>
      <c r="G256" s="819"/>
      <c r="H256" s="819"/>
      <c r="I256" s="819"/>
      <c r="J256" s="819"/>
      <c r="K256" s="819"/>
      <c r="L256" s="819"/>
      <c r="M256" s="819"/>
      <c r="N256" s="819"/>
      <c r="O256" s="819"/>
      <c r="P256" s="819"/>
      <c r="Q256" s="819"/>
      <c r="R256" s="819"/>
      <c r="S256" s="819"/>
      <c r="T256" s="819"/>
      <c r="U256" s="819"/>
      <c r="V256" s="819"/>
      <c r="W256" s="820"/>
      <c r="X256" s="460"/>
      <c r="AH256" s="377"/>
    </row>
    <row r="257" spans="1:34" ht="14.25" customHeight="1">
      <c r="A257" s="814"/>
      <c r="B257" s="804"/>
      <c r="C257" s="805"/>
      <c r="D257" s="805"/>
      <c r="E257" s="806"/>
      <c r="F257" s="887">
        <v>0</v>
      </c>
      <c r="G257" s="887"/>
      <c r="H257" s="821">
        <v>10</v>
      </c>
      <c r="I257" s="823"/>
      <c r="J257" s="823"/>
      <c r="K257" s="822"/>
      <c r="L257" s="821">
        <v>20</v>
      </c>
      <c r="M257" s="823"/>
      <c r="N257" s="823"/>
      <c r="O257" s="822"/>
      <c r="P257" s="821">
        <v>30</v>
      </c>
      <c r="Q257" s="823"/>
      <c r="R257" s="823"/>
      <c r="S257" s="822"/>
      <c r="T257" s="821">
        <v>40</v>
      </c>
      <c r="U257" s="823"/>
      <c r="V257" s="823"/>
      <c r="W257" s="822"/>
      <c r="X257" s="460"/>
      <c r="AH257" s="377"/>
    </row>
    <row r="258" spans="1:34" ht="15" customHeight="1">
      <c r="A258" s="843" t="s">
        <v>682</v>
      </c>
      <c r="B258" s="772" t="s">
        <v>683</v>
      </c>
      <c r="C258" s="773"/>
      <c r="D258" s="773"/>
      <c r="E258" s="774"/>
      <c r="F258" s="965" t="s">
        <v>286</v>
      </c>
      <c r="G258" s="965"/>
      <c r="H258" s="781" t="s">
        <v>686</v>
      </c>
      <c r="I258" s="782"/>
      <c r="J258" s="782"/>
      <c r="K258" s="783"/>
      <c r="L258" s="781" t="s">
        <v>419</v>
      </c>
      <c r="M258" s="782"/>
      <c r="N258" s="782"/>
      <c r="O258" s="783"/>
      <c r="P258" s="781" t="s">
        <v>684</v>
      </c>
      <c r="Q258" s="902"/>
      <c r="R258" s="902"/>
      <c r="S258" s="903"/>
      <c r="T258" s="781" t="s">
        <v>685</v>
      </c>
      <c r="U258" s="902"/>
      <c r="V258" s="902"/>
      <c r="W258" s="903"/>
      <c r="X258" s="460"/>
      <c r="AH258" s="377"/>
    </row>
    <row r="259" spans="1:34" ht="15" customHeight="1">
      <c r="A259" s="844"/>
      <c r="B259" s="775"/>
      <c r="C259" s="776"/>
      <c r="D259" s="776"/>
      <c r="E259" s="777"/>
      <c r="F259" s="965"/>
      <c r="G259" s="965"/>
      <c r="H259" s="784"/>
      <c r="I259" s="785"/>
      <c r="J259" s="785"/>
      <c r="K259" s="786"/>
      <c r="L259" s="784"/>
      <c r="M259" s="785"/>
      <c r="N259" s="785"/>
      <c r="O259" s="786"/>
      <c r="P259" s="904"/>
      <c r="Q259" s="905"/>
      <c r="R259" s="905"/>
      <c r="S259" s="906"/>
      <c r="T259" s="904"/>
      <c r="U259" s="905"/>
      <c r="V259" s="905"/>
      <c r="W259" s="906"/>
      <c r="X259" s="460"/>
      <c r="AB259" s="274"/>
      <c r="AC259" s="274"/>
      <c r="AD259" s="274"/>
      <c r="AH259" s="377"/>
    </row>
    <row r="260" spans="1:34" ht="34.5" customHeight="1">
      <c r="A260" s="844"/>
      <c r="B260" s="775"/>
      <c r="C260" s="776"/>
      <c r="D260" s="776"/>
      <c r="E260" s="777"/>
      <c r="F260" s="965"/>
      <c r="G260" s="965"/>
      <c r="H260" s="787"/>
      <c r="I260" s="788"/>
      <c r="J260" s="788"/>
      <c r="K260" s="789"/>
      <c r="L260" s="787"/>
      <c r="M260" s="788"/>
      <c r="N260" s="788"/>
      <c r="O260" s="789"/>
      <c r="P260" s="907"/>
      <c r="Q260" s="908"/>
      <c r="R260" s="908"/>
      <c r="S260" s="909"/>
      <c r="T260" s="907"/>
      <c r="U260" s="908"/>
      <c r="V260" s="908"/>
      <c r="W260" s="909"/>
      <c r="X260" s="460"/>
      <c r="Z260" s="275"/>
      <c r="AH260" s="377"/>
    </row>
    <row r="261" spans="1:34" ht="14.25" customHeight="1">
      <c r="A261" s="844"/>
      <c r="B261" s="775"/>
      <c r="C261" s="776"/>
      <c r="D261" s="776"/>
      <c r="E261" s="777"/>
      <c r="F261" s="853">
        <f>IF(Y262=0,IF(FIO="","",0),"")</f>
      </c>
      <c r="G261" s="903"/>
      <c r="H261" s="942"/>
      <c r="I261" s="943"/>
      <c r="J261" s="943"/>
      <c r="K261" s="944"/>
      <c r="L261" s="791"/>
      <c r="M261" s="791"/>
      <c r="N261" s="791"/>
      <c r="O261" s="791"/>
      <c r="P261" s="791"/>
      <c r="Q261" s="791"/>
      <c r="R261" s="791"/>
      <c r="S261" s="791"/>
      <c r="T261" s="791"/>
      <c r="U261" s="791"/>
      <c r="V261" s="791"/>
      <c r="W261" s="791"/>
      <c r="X261" s="460"/>
      <c r="Z261" s="251" t="s">
        <v>210</v>
      </c>
      <c r="AA261" s="252" t="s">
        <v>278</v>
      </c>
      <c r="AE261" s="292" t="s">
        <v>3</v>
      </c>
      <c r="AF261" s="293" t="s">
        <v>2</v>
      </c>
      <c r="AH261" s="377"/>
    </row>
    <row r="262" spans="1:34" ht="12.75" customHeight="1">
      <c r="A262" s="845"/>
      <c r="B262" s="778"/>
      <c r="C262" s="779"/>
      <c r="D262" s="779"/>
      <c r="E262" s="780"/>
      <c r="F262" s="907"/>
      <c r="G262" s="909"/>
      <c r="H262" s="945"/>
      <c r="I262" s="946"/>
      <c r="J262" s="946"/>
      <c r="K262" s="947"/>
      <c r="L262" s="791"/>
      <c r="M262" s="791"/>
      <c r="N262" s="791"/>
      <c r="O262" s="791"/>
      <c r="P262" s="791"/>
      <c r="Q262" s="791"/>
      <c r="R262" s="791"/>
      <c r="S262" s="791"/>
      <c r="T262" s="791"/>
      <c r="U262" s="791"/>
      <c r="V262" s="791"/>
      <c r="W262" s="791"/>
      <c r="X262" s="460"/>
      <c r="Y262" s="267">
        <f>SUM(H261:W262)</f>
        <v>0</v>
      </c>
      <c r="Z262" s="253">
        <v>100</v>
      </c>
      <c r="AA262" s="270">
        <f>IF(z_kateg="высшая",AE262,AF262)</f>
        <v>0</v>
      </c>
      <c r="AE262" s="288">
        <v>0</v>
      </c>
      <c r="AF262" s="289">
        <v>0</v>
      </c>
      <c r="AH262" s="377"/>
    </row>
    <row r="263" spans="1:45" ht="6" customHeight="1">
      <c r="A263" s="282"/>
      <c r="B263" s="296"/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460"/>
      <c r="AD263" s="189"/>
      <c r="AG263" s="12"/>
      <c r="AH263" s="377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</row>
    <row r="264" spans="1:34" ht="15" customHeight="1">
      <c r="A264" s="250" t="s">
        <v>192</v>
      </c>
      <c r="B264" s="810" t="s">
        <v>219</v>
      </c>
      <c r="C264" s="810"/>
      <c r="D264" s="810"/>
      <c r="E264" s="810"/>
      <c r="F264" s="810"/>
      <c r="G264" s="810"/>
      <c r="H264" s="810"/>
      <c r="I264" s="810"/>
      <c r="J264" s="810"/>
      <c r="K264" s="810"/>
      <c r="L264" s="810"/>
      <c r="M264" s="810"/>
      <c r="N264" s="810"/>
      <c r="O264" s="810"/>
      <c r="P264" s="810"/>
      <c r="Q264" s="810"/>
      <c r="R264" s="810"/>
      <c r="S264" s="810"/>
      <c r="T264" s="810"/>
      <c r="U264" s="810"/>
      <c r="V264" s="810"/>
      <c r="W264" s="810"/>
      <c r="X264" s="460"/>
      <c r="Y264" s="295" t="str">
        <f>A264</f>
        <v>3.</v>
      </c>
      <c r="Z264" s="294"/>
      <c r="AA264" s="251" t="s">
        <v>279</v>
      </c>
      <c r="AB264" s="251" t="s">
        <v>210</v>
      </c>
      <c r="AC264" s="251" t="s">
        <v>278</v>
      </c>
      <c r="AE264" s="321" t="s">
        <v>280</v>
      </c>
      <c r="AG264" s="293"/>
      <c r="AH264" s="377"/>
    </row>
    <row r="265" spans="2:34" ht="15" customHeight="1">
      <c r="B265" s="810"/>
      <c r="C265" s="810"/>
      <c r="D265" s="810"/>
      <c r="E265" s="810"/>
      <c r="F265" s="810"/>
      <c r="G265" s="810"/>
      <c r="H265" s="810"/>
      <c r="I265" s="810"/>
      <c r="J265" s="810"/>
      <c r="K265" s="810"/>
      <c r="L265" s="810"/>
      <c r="M265" s="810"/>
      <c r="N265" s="810"/>
      <c r="O265" s="810"/>
      <c r="P265" s="810"/>
      <c r="Q265" s="810"/>
      <c r="R265" s="810"/>
      <c r="S265" s="810"/>
      <c r="T265" s="810"/>
      <c r="U265" s="810"/>
      <c r="V265" s="810"/>
      <c r="W265" s="810"/>
      <c r="X265" s="460"/>
      <c r="Z265" s="271" t="s">
        <v>292</v>
      </c>
      <c r="AA265" s="268">
        <f>SUM(Y266:Y424)</f>
        <v>0</v>
      </c>
      <c r="AB265" s="253">
        <f>SUM(Z266:Z423)</f>
        <v>740</v>
      </c>
      <c r="AC265" s="270">
        <f>SUM(AA266:AA423)</f>
        <v>100</v>
      </c>
      <c r="AD265" s="288"/>
      <c r="AE265" s="321" t="b">
        <f>итого_2&gt;=AC265</f>
        <v>0</v>
      </c>
      <c r="AH265" s="377"/>
    </row>
    <row r="266" spans="1:64" ht="13.5" customHeight="1">
      <c r="A266" s="811" t="s">
        <v>203</v>
      </c>
      <c r="B266" s="811"/>
      <c r="C266" s="811"/>
      <c r="D266" s="811"/>
      <c r="E266" s="811"/>
      <c r="F266" s="811"/>
      <c r="G266" s="811"/>
      <c r="H266" s="811"/>
      <c r="I266" s="811"/>
      <c r="J266" s="811"/>
      <c r="K266" s="811"/>
      <c r="L266" s="811"/>
      <c r="M266" s="811"/>
      <c r="N266" s="811"/>
      <c r="O266" s="811"/>
      <c r="P266" s="811"/>
      <c r="Q266" s="811"/>
      <c r="R266" s="811"/>
      <c r="S266" s="811"/>
      <c r="T266" s="811"/>
      <c r="U266" s="811"/>
      <c r="V266" s="811"/>
      <c r="W266" s="811"/>
      <c r="X266" s="460"/>
      <c r="Y266" s="208"/>
      <c r="AB266" s="208"/>
      <c r="AC266" s="208"/>
      <c r="AD266" s="208"/>
      <c r="AF266" s="208"/>
      <c r="AG266" s="208"/>
      <c r="AH266" s="377"/>
      <c r="AI266" s="208"/>
      <c r="AJ266" s="208"/>
      <c r="AK266" s="208"/>
      <c r="AL266" s="208"/>
      <c r="AM266" s="208"/>
      <c r="AN266" s="208"/>
      <c r="AO266" s="208"/>
      <c r="AP266" s="208"/>
      <c r="AQ266" s="208"/>
      <c r="AR266" s="208"/>
      <c r="AS266" s="208"/>
      <c r="AT266" s="208"/>
      <c r="AU266" s="208"/>
      <c r="AV266" s="208"/>
      <c r="AW266" s="208"/>
      <c r="AX266" s="208"/>
      <c r="AY266" s="208"/>
      <c r="AZ266" s="208"/>
      <c r="BA266" s="208"/>
      <c r="BB266" s="208"/>
      <c r="BC266" s="208"/>
      <c r="BD266" s="208"/>
      <c r="BE266" s="208"/>
      <c r="BF266" s="208"/>
      <c r="BG266" s="208"/>
      <c r="BH266" s="208"/>
      <c r="BI266" s="208"/>
      <c r="BJ266" s="208"/>
      <c r="BK266" s="208"/>
      <c r="BL266" s="208"/>
    </row>
    <row r="267" spans="1:64" ht="12.75" customHeight="1">
      <c r="A267" s="1074" t="s">
        <v>204</v>
      </c>
      <c r="B267" s="839" t="s">
        <v>220</v>
      </c>
      <c r="C267" s="839"/>
      <c r="D267" s="839"/>
      <c r="E267" s="839"/>
      <c r="F267" s="839"/>
      <c r="G267" s="839"/>
      <c r="H267" s="839"/>
      <c r="I267" s="839"/>
      <c r="J267" s="839"/>
      <c r="K267" s="839"/>
      <c r="L267" s="839"/>
      <c r="M267" s="839"/>
      <c r="N267" s="839"/>
      <c r="O267" s="839"/>
      <c r="P267" s="839"/>
      <c r="Q267" s="839"/>
      <c r="R267" s="839"/>
      <c r="S267" s="839"/>
      <c r="T267" s="839"/>
      <c r="U267" s="839"/>
      <c r="V267" s="839"/>
      <c r="W267" s="839"/>
      <c r="X267" s="460"/>
      <c r="Y267" s="208"/>
      <c r="AB267" s="208"/>
      <c r="AC267" s="208"/>
      <c r="AD267" s="208"/>
      <c r="AE267" s="208"/>
      <c r="AF267" s="208"/>
      <c r="AG267" s="208"/>
      <c r="AH267" s="377"/>
      <c r="AI267" s="208"/>
      <c r="AJ267" s="208"/>
      <c r="AK267" s="208"/>
      <c r="AL267" s="208"/>
      <c r="AM267" s="208"/>
      <c r="AN267" s="208"/>
      <c r="AO267" s="208"/>
      <c r="AP267" s="208"/>
      <c r="AQ267" s="208"/>
      <c r="AR267" s="208"/>
      <c r="AS267" s="208"/>
      <c r="AT267" s="208"/>
      <c r="AU267" s="208"/>
      <c r="AV267" s="208"/>
      <c r="AW267" s="208"/>
      <c r="AX267" s="208"/>
      <c r="AY267" s="208"/>
      <c r="AZ267" s="208"/>
      <c r="BA267" s="208"/>
      <c r="BB267" s="208"/>
      <c r="BC267" s="208"/>
      <c r="BD267" s="208"/>
      <c r="BE267" s="208"/>
      <c r="BF267" s="208"/>
      <c r="BG267" s="208"/>
      <c r="BH267" s="208"/>
      <c r="BI267" s="208"/>
      <c r="BJ267" s="208"/>
      <c r="BK267" s="208"/>
      <c r="BL267" s="208"/>
    </row>
    <row r="268" spans="1:64" ht="12.75" customHeight="1">
      <c r="A268" s="1074"/>
      <c r="B268" s="839"/>
      <c r="C268" s="839"/>
      <c r="D268" s="839"/>
      <c r="E268" s="839"/>
      <c r="F268" s="839"/>
      <c r="G268" s="839"/>
      <c r="H268" s="839"/>
      <c r="I268" s="839"/>
      <c r="J268" s="839"/>
      <c r="K268" s="839"/>
      <c r="L268" s="839"/>
      <c r="M268" s="839"/>
      <c r="N268" s="839"/>
      <c r="O268" s="839"/>
      <c r="P268" s="839"/>
      <c r="Q268" s="839"/>
      <c r="R268" s="839"/>
      <c r="S268" s="839"/>
      <c r="T268" s="839"/>
      <c r="U268" s="839"/>
      <c r="V268" s="839"/>
      <c r="W268" s="839"/>
      <c r="X268" s="460"/>
      <c r="Y268" s="208"/>
      <c r="AB268" s="208"/>
      <c r="AC268" s="208"/>
      <c r="AD268" s="208"/>
      <c r="AE268" s="208"/>
      <c r="AF268" s="208"/>
      <c r="AG268" s="208"/>
      <c r="AH268" s="377"/>
      <c r="AI268" s="208"/>
      <c r="AJ268" s="208"/>
      <c r="AK268" s="208"/>
      <c r="AL268" s="208"/>
      <c r="AM268" s="208"/>
      <c r="AN268" s="208"/>
      <c r="AO268" s="208"/>
      <c r="AP268" s="208"/>
      <c r="AQ268" s="208"/>
      <c r="AR268" s="208"/>
      <c r="AS268" s="208"/>
      <c r="AT268" s="208"/>
      <c r="AU268" s="208"/>
      <c r="AV268" s="208"/>
      <c r="AW268" s="208"/>
      <c r="AX268" s="208"/>
      <c r="AY268" s="208"/>
      <c r="AZ268" s="208"/>
      <c r="BA268" s="208"/>
      <c r="BB268" s="208"/>
      <c r="BC268" s="208"/>
      <c r="BD268" s="208"/>
      <c r="BE268" s="208"/>
      <c r="BF268" s="208"/>
      <c r="BG268" s="208"/>
      <c r="BH268" s="208"/>
      <c r="BI268" s="208"/>
      <c r="BJ268" s="208"/>
      <c r="BK268" s="208"/>
      <c r="BL268" s="208"/>
    </row>
    <row r="269" spans="1:64" ht="12.75" customHeight="1">
      <c r="A269" s="1074"/>
      <c r="B269" s="839"/>
      <c r="C269" s="839"/>
      <c r="D269" s="839"/>
      <c r="E269" s="839"/>
      <c r="F269" s="839"/>
      <c r="G269" s="839"/>
      <c r="H269" s="839"/>
      <c r="I269" s="839"/>
      <c r="J269" s="839"/>
      <c r="K269" s="839"/>
      <c r="L269" s="839"/>
      <c r="M269" s="839"/>
      <c r="N269" s="839"/>
      <c r="O269" s="839"/>
      <c r="P269" s="839"/>
      <c r="Q269" s="839"/>
      <c r="R269" s="839"/>
      <c r="S269" s="839"/>
      <c r="T269" s="839"/>
      <c r="U269" s="839"/>
      <c r="V269" s="839"/>
      <c r="W269" s="839"/>
      <c r="X269" s="460"/>
      <c r="Y269" s="208"/>
      <c r="AB269" s="208"/>
      <c r="AC269" s="208"/>
      <c r="AD269" s="208"/>
      <c r="AE269" s="208"/>
      <c r="AF269" s="208"/>
      <c r="AG269" s="208"/>
      <c r="AH269" s="377"/>
      <c r="AI269" s="208"/>
      <c r="AJ269" s="208"/>
      <c r="AK269" s="208"/>
      <c r="AL269" s="208"/>
      <c r="AM269" s="208"/>
      <c r="AN269" s="208"/>
      <c r="AO269" s="208"/>
      <c r="AP269" s="208"/>
      <c r="AQ269" s="208"/>
      <c r="AR269" s="208"/>
      <c r="AS269" s="208"/>
      <c r="AT269" s="208"/>
      <c r="AU269" s="208"/>
      <c r="AV269" s="208"/>
      <c r="AW269" s="208"/>
      <c r="AX269" s="208"/>
      <c r="AY269" s="208"/>
      <c r="AZ269" s="208"/>
      <c r="BA269" s="208"/>
      <c r="BB269" s="208"/>
      <c r="BC269" s="208"/>
      <c r="BD269" s="208"/>
      <c r="BE269" s="208"/>
      <c r="BF269" s="208"/>
      <c r="BG269" s="208"/>
      <c r="BH269" s="208"/>
      <c r="BI269" s="208"/>
      <c r="BJ269" s="208"/>
      <c r="BK269" s="208"/>
      <c r="BL269" s="208"/>
    </row>
    <row r="270" spans="1:64" ht="11.25" customHeight="1">
      <c r="A270" s="1074"/>
      <c r="B270" s="839"/>
      <c r="C270" s="839"/>
      <c r="D270" s="839"/>
      <c r="E270" s="839"/>
      <c r="F270" s="839"/>
      <c r="G270" s="839"/>
      <c r="H270" s="839"/>
      <c r="I270" s="839"/>
      <c r="J270" s="839"/>
      <c r="K270" s="839"/>
      <c r="L270" s="839"/>
      <c r="M270" s="839"/>
      <c r="N270" s="839"/>
      <c r="O270" s="839"/>
      <c r="P270" s="839"/>
      <c r="Q270" s="839"/>
      <c r="R270" s="839"/>
      <c r="S270" s="839"/>
      <c r="T270" s="839"/>
      <c r="U270" s="839"/>
      <c r="V270" s="839"/>
      <c r="W270" s="839"/>
      <c r="X270" s="460"/>
      <c r="Y270" s="208"/>
      <c r="AB270" s="208"/>
      <c r="AC270" s="208"/>
      <c r="AD270" s="208"/>
      <c r="AE270" s="208"/>
      <c r="AF270" s="208"/>
      <c r="AG270" s="208"/>
      <c r="AH270" s="377"/>
      <c r="AI270" s="208"/>
      <c r="AJ270" s="208"/>
      <c r="AK270" s="208"/>
      <c r="AL270" s="208"/>
      <c r="AM270" s="208"/>
      <c r="AN270" s="208"/>
      <c r="AO270" s="208"/>
      <c r="AP270" s="208"/>
      <c r="AQ270" s="208"/>
      <c r="AR270" s="208"/>
      <c r="AS270" s="208"/>
      <c r="AT270" s="208"/>
      <c r="AU270" s="208"/>
      <c r="AV270" s="208"/>
      <c r="AW270" s="208"/>
      <c r="AX270" s="208"/>
      <c r="AY270" s="208"/>
      <c r="AZ270" s="208"/>
      <c r="BA270" s="208"/>
      <c r="BB270" s="208"/>
      <c r="BC270" s="208"/>
      <c r="BD270" s="208"/>
      <c r="BE270" s="208"/>
      <c r="BF270" s="208"/>
      <c r="BG270" s="208"/>
      <c r="BH270" s="208"/>
      <c r="BI270" s="208"/>
      <c r="BJ270" s="208"/>
      <c r="BK270" s="208"/>
      <c r="BL270" s="208"/>
    </row>
    <row r="271" spans="1:64" ht="9.75" customHeight="1">
      <c r="A271" s="1074"/>
      <c r="B271" s="839"/>
      <c r="C271" s="839"/>
      <c r="D271" s="839"/>
      <c r="E271" s="839"/>
      <c r="F271" s="839"/>
      <c r="G271" s="839"/>
      <c r="H271" s="839"/>
      <c r="I271" s="839"/>
      <c r="J271" s="839"/>
      <c r="K271" s="839"/>
      <c r="L271" s="839"/>
      <c r="M271" s="839"/>
      <c r="N271" s="839"/>
      <c r="O271" s="839"/>
      <c r="P271" s="839"/>
      <c r="Q271" s="839"/>
      <c r="R271" s="839"/>
      <c r="S271" s="839"/>
      <c r="T271" s="839"/>
      <c r="U271" s="839"/>
      <c r="V271" s="839"/>
      <c r="W271" s="839"/>
      <c r="X271" s="460"/>
      <c r="Y271" s="209"/>
      <c r="AB271" s="209"/>
      <c r="AC271" s="209"/>
      <c r="AD271" s="209"/>
      <c r="AE271" s="209"/>
      <c r="AF271" s="209"/>
      <c r="AG271" s="209"/>
      <c r="AH271" s="377"/>
      <c r="AI271" s="209"/>
      <c r="AJ271" s="209"/>
      <c r="AK271" s="209"/>
      <c r="AL271" s="209"/>
      <c r="AM271" s="209"/>
      <c r="AN271" s="209"/>
      <c r="AO271" s="209"/>
      <c r="AP271" s="209"/>
      <c r="AQ271" s="209"/>
      <c r="AR271" s="209"/>
      <c r="AS271" s="209"/>
      <c r="AT271" s="209"/>
      <c r="AU271" s="209"/>
      <c r="AV271" s="209"/>
      <c r="AW271" s="209"/>
      <c r="AX271" s="209"/>
      <c r="AY271" s="209"/>
      <c r="AZ271" s="209"/>
      <c r="BA271" s="209"/>
      <c r="BB271" s="209"/>
      <c r="BC271" s="209"/>
      <c r="BD271" s="209"/>
      <c r="BE271" s="209"/>
      <c r="BF271" s="209"/>
      <c r="BG271" s="209"/>
      <c r="BH271" s="209"/>
      <c r="BI271" s="209"/>
      <c r="BJ271" s="209"/>
      <c r="BK271" s="209"/>
      <c r="BL271" s="209"/>
    </row>
    <row r="272" spans="1:64" ht="12.75" customHeight="1">
      <c r="A272" s="1074" t="s">
        <v>204</v>
      </c>
      <c r="B272" s="900" t="s">
        <v>221</v>
      </c>
      <c r="C272" s="900"/>
      <c r="D272" s="900"/>
      <c r="E272" s="900"/>
      <c r="F272" s="900"/>
      <c r="G272" s="900"/>
      <c r="H272" s="900"/>
      <c r="I272" s="900"/>
      <c r="J272" s="900"/>
      <c r="K272" s="900"/>
      <c r="L272" s="900"/>
      <c r="M272" s="900"/>
      <c r="N272" s="900"/>
      <c r="O272" s="900"/>
      <c r="P272" s="900"/>
      <c r="Q272" s="900"/>
      <c r="R272" s="900"/>
      <c r="S272" s="900"/>
      <c r="T272" s="900"/>
      <c r="U272" s="900"/>
      <c r="V272" s="900"/>
      <c r="W272" s="900"/>
      <c r="X272" s="460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377"/>
      <c r="AI272" s="209"/>
      <c r="AJ272" s="209"/>
      <c r="AK272" s="209"/>
      <c r="AL272" s="209"/>
      <c r="AM272" s="209"/>
      <c r="AN272" s="209"/>
      <c r="AO272" s="209"/>
      <c r="AP272" s="209"/>
      <c r="AQ272" s="209"/>
      <c r="AR272" s="209"/>
      <c r="AS272" s="209"/>
      <c r="AT272" s="209"/>
      <c r="AU272" s="209"/>
      <c r="AV272" s="209"/>
      <c r="AW272" s="209"/>
      <c r="AX272" s="209"/>
      <c r="AY272" s="209"/>
      <c r="AZ272" s="209"/>
      <c r="BA272" s="209"/>
      <c r="BB272" s="209"/>
      <c r="BC272" s="209"/>
      <c r="BD272" s="209"/>
      <c r="BE272" s="209"/>
      <c r="BF272" s="209"/>
      <c r="BG272" s="209"/>
      <c r="BH272" s="209"/>
      <c r="BI272" s="209"/>
      <c r="BJ272" s="209"/>
      <c r="BK272" s="209"/>
      <c r="BL272" s="209"/>
    </row>
    <row r="273" spans="1:64" ht="12.75" customHeight="1">
      <c r="A273" s="1074"/>
      <c r="B273" s="900"/>
      <c r="C273" s="900"/>
      <c r="D273" s="900"/>
      <c r="E273" s="900"/>
      <c r="F273" s="900"/>
      <c r="G273" s="900"/>
      <c r="H273" s="900"/>
      <c r="I273" s="900"/>
      <c r="J273" s="900"/>
      <c r="K273" s="900"/>
      <c r="L273" s="900"/>
      <c r="M273" s="900"/>
      <c r="N273" s="900"/>
      <c r="O273" s="900"/>
      <c r="P273" s="900"/>
      <c r="Q273" s="900"/>
      <c r="R273" s="900"/>
      <c r="S273" s="900"/>
      <c r="T273" s="900"/>
      <c r="U273" s="900"/>
      <c r="V273" s="900"/>
      <c r="W273" s="900"/>
      <c r="X273" s="460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377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09"/>
      <c r="AT273" s="209"/>
      <c r="AU273" s="209"/>
      <c r="AV273" s="209"/>
      <c r="AW273" s="209"/>
      <c r="AX273" s="209"/>
      <c r="AY273" s="209"/>
      <c r="AZ273" s="209"/>
      <c r="BA273" s="209"/>
      <c r="BB273" s="209"/>
      <c r="BC273" s="209"/>
      <c r="BD273" s="209"/>
      <c r="BE273" s="209"/>
      <c r="BF273" s="209"/>
      <c r="BG273" s="209"/>
      <c r="BH273" s="209"/>
      <c r="BI273" s="209"/>
      <c r="BJ273" s="209"/>
      <c r="BK273" s="209"/>
      <c r="BL273" s="209"/>
    </row>
    <row r="274" spans="1:64" ht="12.75" customHeight="1">
      <c r="A274" s="1074"/>
      <c r="B274" s="900"/>
      <c r="C274" s="900"/>
      <c r="D274" s="900"/>
      <c r="E274" s="900"/>
      <c r="F274" s="900"/>
      <c r="G274" s="900"/>
      <c r="H274" s="900"/>
      <c r="I274" s="900"/>
      <c r="J274" s="900"/>
      <c r="K274" s="900"/>
      <c r="L274" s="900"/>
      <c r="M274" s="900"/>
      <c r="N274" s="900"/>
      <c r="O274" s="900"/>
      <c r="P274" s="900"/>
      <c r="Q274" s="900"/>
      <c r="R274" s="900"/>
      <c r="S274" s="900"/>
      <c r="T274" s="900"/>
      <c r="U274" s="900"/>
      <c r="V274" s="900"/>
      <c r="W274" s="900"/>
      <c r="X274" s="460"/>
      <c r="Y274" s="209"/>
      <c r="Z274" s="209"/>
      <c r="AA274" s="209"/>
      <c r="AB274" s="209"/>
      <c r="AC274" s="209"/>
      <c r="AD274" s="209"/>
      <c r="AE274" s="209"/>
      <c r="AF274" s="209"/>
      <c r="AG274" s="209"/>
      <c r="AH274" s="377"/>
      <c r="AI274" s="209"/>
      <c r="AJ274" s="209"/>
      <c r="AK274" s="209"/>
      <c r="AL274" s="209"/>
      <c r="AM274" s="209"/>
      <c r="AN274" s="209"/>
      <c r="AO274" s="209"/>
      <c r="AP274" s="209"/>
      <c r="AQ274" s="209"/>
      <c r="AR274" s="209"/>
      <c r="AS274" s="209"/>
      <c r="AT274" s="209"/>
      <c r="AU274" s="209"/>
      <c r="AV274" s="209"/>
      <c r="AW274" s="209"/>
      <c r="AX274" s="209"/>
      <c r="AY274" s="209"/>
      <c r="AZ274" s="209"/>
      <c r="BA274" s="209"/>
      <c r="BB274" s="209"/>
      <c r="BC274" s="209"/>
      <c r="BD274" s="209"/>
      <c r="BE274" s="209"/>
      <c r="BF274" s="209"/>
      <c r="BG274" s="209"/>
      <c r="BH274" s="209"/>
      <c r="BI274" s="209"/>
      <c r="BJ274" s="209"/>
      <c r="BK274" s="209"/>
      <c r="BL274" s="209"/>
    </row>
    <row r="275" spans="1:64" ht="12.75" customHeight="1">
      <c r="A275" s="1074"/>
      <c r="B275" s="900"/>
      <c r="C275" s="900"/>
      <c r="D275" s="900"/>
      <c r="E275" s="900"/>
      <c r="F275" s="900"/>
      <c r="G275" s="900"/>
      <c r="H275" s="900"/>
      <c r="I275" s="900"/>
      <c r="J275" s="900"/>
      <c r="K275" s="900"/>
      <c r="L275" s="900"/>
      <c r="M275" s="900"/>
      <c r="N275" s="900"/>
      <c r="O275" s="900"/>
      <c r="P275" s="900"/>
      <c r="Q275" s="900"/>
      <c r="R275" s="900"/>
      <c r="S275" s="900"/>
      <c r="T275" s="900"/>
      <c r="U275" s="900"/>
      <c r="V275" s="900"/>
      <c r="W275" s="900"/>
      <c r="X275" s="460"/>
      <c r="Y275" s="209"/>
      <c r="Z275" s="209"/>
      <c r="AA275" s="209"/>
      <c r="AB275" s="209"/>
      <c r="AC275" s="209"/>
      <c r="AD275" s="209"/>
      <c r="AE275" s="209"/>
      <c r="AF275" s="209"/>
      <c r="AG275" s="209"/>
      <c r="AH275" s="377"/>
      <c r="AI275" s="209"/>
      <c r="AJ275" s="209"/>
      <c r="AK275" s="209"/>
      <c r="AL275" s="209"/>
      <c r="AM275" s="209"/>
      <c r="AN275" s="209"/>
      <c r="AO275" s="209"/>
      <c r="AP275" s="209"/>
      <c r="AQ275" s="209"/>
      <c r="AR275" s="209"/>
      <c r="AS275" s="209"/>
      <c r="AT275" s="209"/>
      <c r="AU275" s="209"/>
      <c r="AV275" s="209"/>
      <c r="AW275" s="209"/>
      <c r="AX275" s="209"/>
      <c r="AY275" s="209"/>
      <c r="AZ275" s="209"/>
      <c r="BA275" s="209"/>
      <c r="BB275" s="209"/>
      <c r="BC275" s="209"/>
      <c r="BD275" s="209"/>
      <c r="BE275" s="209"/>
      <c r="BF275" s="209"/>
      <c r="BG275" s="209"/>
      <c r="BH275" s="209"/>
      <c r="BI275" s="209"/>
      <c r="BJ275" s="209"/>
      <c r="BK275" s="209"/>
      <c r="BL275" s="209"/>
    </row>
    <row r="276" spans="1:64" ht="12.75" customHeight="1">
      <c r="A276" s="1074"/>
      <c r="B276" s="900"/>
      <c r="C276" s="900"/>
      <c r="D276" s="900"/>
      <c r="E276" s="900"/>
      <c r="F276" s="900"/>
      <c r="G276" s="900"/>
      <c r="H276" s="900"/>
      <c r="I276" s="900"/>
      <c r="J276" s="900"/>
      <c r="K276" s="900"/>
      <c r="L276" s="900"/>
      <c r="M276" s="900"/>
      <c r="N276" s="900"/>
      <c r="O276" s="900"/>
      <c r="P276" s="900"/>
      <c r="Q276" s="900"/>
      <c r="R276" s="900"/>
      <c r="S276" s="900"/>
      <c r="T276" s="900"/>
      <c r="U276" s="900"/>
      <c r="V276" s="900"/>
      <c r="W276" s="900"/>
      <c r="X276" s="460"/>
      <c r="Y276" s="209"/>
      <c r="Z276" s="209"/>
      <c r="AA276" s="209"/>
      <c r="AB276" s="209"/>
      <c r="AC276" s="209"/>
      <c r="AD276" s="209"/>
      <c r="AE276" s="209"/>
      <c r="AF276" s="209"/>
      <c r="AG276" s="209"/>
      <c r="AH276" s="377"/>
      <c r="AI276" s="209"/>
      <c r="AJ276" s="209"/>
      <c r="AK276" s="209"/>
      <c r="AL276" s="209"/>
      <c r="AM276" s="209"/>
      <c r="AN276" s="209"/>
      <c r="AO276" s="209"/>
      <c r="AP276" s="209"/>
      <c r="AQ276" s="209"/>
      <c r="AR276" s="209"/>
      <c r="AS276" s="209"/>
      <c r="AT276" s="209"/>
      <c r="AU276" s="209"/>
      <c r="AV276" s="209"/>
      <c r="AW276" s="209"/>
      <c r="AX276" s="209"/>
      <c r="AY276" s="209"/>
      <c r="AZ276" s="209"/>
      <c r="BA276" s="209"/>
      <c r="BB276" s="209"/>
      <c r="BC276" s="209"/>
      <c r="BD276" s="209"/>
      <c r="BE276" s="209"/>
      <c r="BF276" s="209"/>
      <c r="BG276" s="209"/>
      <c r="BH276" s="209"/>
      <c r="BI276" s="209"/>
      <c r="BJ276" s="209"/>
      <c r="BK276" s="209"/>
      <c r="BL276" s="209"/>
    </row>
    <row r="277" spans="1:34" ht="11.25" customHeight="1">
      <c r="A277" s="1074"/>
      <c r="B277" s="900"/>
      <c r="C277" s="900"/>
      <c r="D277" s="900"/>
      <c r="E277" s="900"/>
      <c r="F277" s="900"/>
      <c r="G277" s="900"/>
      <c r="H277" s="900"/>
      <c r="I277" s="900"/>
      <c r="J277" s="900"/>
      <c r="K277" s="900"/>
      <c r="L277" s="900"/>
      <c r="M277" s="900"/>
      <c r="N277" s="900"/>
      <c r="O277" s="900"/>
      <c r="P277" s="900"/>
      <c r="Q277" s="900"/>
      <c r="R277" s="900"/>
      <c r="S277" s="900"/>
      <c r="T277" s="900"/>
      <c r="U277" s="900"/>
      <c r="V277" s="900"/>
      <c r="W277" s="900"/>
      <c r="X277" s="460"/>
      <c r="AH277" s="377"/>
    </row>
    <row r="278" spans="1:256" ht="12.75">
      <c r="A278" s="1074"/>
      <c r="B278" s="900"/>
      <c r="C278" s="900"/>
      <c r="D278" s="900"/>
      <c r="E278" s="900"/>
      <c r="F278" s="900"/>
      <c r="G278" s="900"/>
      <c r="H278" s="900"/>
      <c r="I278" s="900"/>
      <c r="J278" s="900"/>
      <c r="K278" s="900"/>
      <c r="L278" s="900"/>
      <c r="M278" s="900"/>
      <c r="N278" s="900"/>
      <c r="O278" s="900"/>
      <c r="P278" s="900"/>
      <c r="Q278" s="900"/>
      <c r="R278" s="900"/>
      <c r="S278" s="900"/>
      <c r="T278" s="900"/>
      <c r="U278" s="900"/>
      <c r="V278" s="900"/>
      <c r="W278" s="900"/>
      <c r="X278" s="460"/>
      <c r="Y278" s="191"/>
      <c r="Z278" s="191"/>
      <c r="AA278" s="191"/>
      <c r="AB278" s="191"/>
      <c r="AC278" s="191"/>
      <c r="AD278" s="191"/>
      <c r="AE278" s="191"/>
      <c r="AF278" s="191"/>
      <c r="AG278" s="191"/>
      <c r="AH278" s="377"/>
      <c r="AI278" s="191"/>
      <c r="AJ278" s="191"/>
      <c r="AK278" s="191"/>
      <c r="AL278" s="191"/>
      <c r="AM278" s="191"/>
      <c r="AN278" s="191"/>
      <c r="AO278" s="191"/>
      <c r="AP278" s="191"/>
      <c r="AQ278" s="191"/>
      <c r="AR278" s="191"/>
      <c r="AS278" s="191"/>
      <c r="AT278" s="191"/>
      <c r="AU278" s="191"/>
      <c r="AV278" s="191"/>
      <c r="AW278" s="191"/>
      <c r="AX278" s="191"/>
      <c r="AY278" s="191"/>
      <c r="AZ278" s="191"/>
      <c r="BA278" s="191"/>
      <c r="BB278" s="191"/>
      <c r="BC278" s="191"/>
      <c r="BD278" s="191"/>
      <c r="BE278" s="191"/>
      <c r="BF278" s="191"/>
      <c r="BG278" s="191"/>
      <c r="BH278" s="191"/>
      <c r="BI278" s="191"/>
      <c r="BJ278" s="191"/>
      <c r="BK278" s="191"/>
      <c r="BL278" s="191"/>
      <c r="BM278" s="196"/>
      <c r="BN278" s="142"/>
      <c r="BO278" s="192"/>
      <c r="BP278" s="151"/>
      <c r="BQ278" s="151"/>
      <c r="BR278" s="193"/>
      <c r="BS278" s="151"/>
      <c r="BT278" s="151"/>
      <c r="BU278" s="151"/>
      <c r="BV278" s="151"/>
      <c r="BW278" s="151"/>
      <c r="BX278" s="151"/>
      <c r="BY278" s="191"/>
      <c r="BZ278" s="191"/>
      <c r="CA278" s="191"/>
      <c r="CB278" s="191"/>
      <c r="CC278" s="191"/>
      <c r="CD278" s="191"/>
      <c r="CE278" s="191"/>
      <c r="CF278" s="191"/>
      <c r="CG278" s="191"/>
      <c r="CH278" s="191"/>
      <c r="CI278" s="191"/>
      <c r="CJ278" s="191"/>
      <c r="CK278" s="191"/>
      <c r="CL278" s="191"/>
      <c r="CM278" s="191"/>
      <c r="CN278" s="191"/>
      <c r="CO278" s="191"/>
      <c r="CP278" s="191"/>
      <c r="CQ278" s="191"/>
      <c r="CR278" s="191"/>
      <c r="CS278" s="191"/>
      <c r="CT278" s="191"/>
      <c r="CU278" s="191"/>
      <c r="CV278" s="191"/>
      <c r="CW278" s="191"/>
      <c r="CX278" s="191"/>
      <c r="CY278" s="191"/>
      <c r="CZ278" s="191"/>
      <c r="DA278" s="191"/>
      <c r="DB278" s="191"/>
      <c r="DC278" s="191"/>
      <c r="DD278" s="191"/>
      <c r="DE278" s="191"/>
      <c r="DG278" s="191"/>
      <c r="DH278" s="191"/>
      <c r="DI278" s="191"/>
      <c r="DJ278" s="191"/>
      <c r="DK278" s="191"/>
      <c r="DL278" s="191"/>
      <c r="DM278" s="191"/>
      <c r="DN278" s="191"/>
      <c r="DO278" s="191"/>
      <c r="DP278" s="191"/>
      <c r="DQ278" s="191"/>
      <c r="DR278" s="191"/>
      <c r="DS278" s="191"/>
      <c r="DT278" s="191"/>
      <c r="DU278" s="191"/>
      <c r="DV278" s="191"/>
      <c r="DW278" s="191"/>
      <c r="DX278" s="191"/>
      <c r="DY278" s="191"/>
      <c r="DZ278" s="191"/>
      <c r="EA278" s="191"/>
      <c r="EB278" s="191"/>
      <c r="EC278" s="191"/>
      <c r="ED278" s="191"/>
      <c r="EE278" s="191"/>
      <c r="EF278" s="191"/>
      <c r="EG278" s="191"/>
      <c r="EH278" s="191"/>
      <c r="EI278" s="191"/>
      <c r="EJ278" s="191"/>
      <c r="EK278" s="191"/>
      <c r="EL278" s="191"/>
      <c r="EM278" s="191"/>
      <c r="EN278" s="191"/>
      <c r="EO278" s="191"/>
      <c r="EP278" s="191"/>
      <c r="EQ278" s="191"/>
      <c r="ER278" s="191"/>
      <c r="ES278" s="191"/>
      <c r="ET278" s="191"/>
      <c r="EU278" s="191"/>
      <c r="EV278" s="191"/>
      <c r="EW278" s="191"/>
      <c r="EX278" s="191"/>
      <c r="EY278" s="191"/>
      <c r="EZ278" s="191"/>
      <c r="FA278" s="191"/>
      <c r="FB278" s="191"/>
      <c r="FC278" s="191"/>
      <c r="FD278" s="191"/>
      <c r="FE278" s="191"/>
      <c r="FF278" s="191"/>
      <c r="FG278" s="191"/>
      <c r="FH278" s="191"/>
      <c r="FI278" s="191"/>
      <c r="FJ278" s="191"/>
      <c r="FK278" s="191"/>
      <c r="FL278" s="191"/>
      <c r="FM278" s="191"/>
      <c r="FN278" s="191"/>
      <c r="FO278" s="191"/>
      <c r="FP278" s="191"/>
      <c r="FQ278" s="191"/>
      <c r="FR278" s="191"/>
      <c r="FS278" s="191"/>
      <c r="FT278" s="191"/>
      <c r="FU278" s="191"/>
      <c r="FV278" s="191"/>
      <c r="FW278" s="191"/>
      <c r="FX278" s="191"/>
      <c r="FY278" s="191"/>
      <c r="FZ278" s="191"/>
      <c r="GA278" s="191"/>
      <c r="GB278" s="191"/>
      <c r="GC278" s="191"/>
      <c r="GD278" s="191"/>
      <c r="GE278" s="191"/>
      <c r="GF278" s="191"/>
      <c r="GG278" s="191"/>
      <c r="GH278" s="191"/>
      <c r="GI278" s="191"/>
      <c r="GJ278" s="191"/>
      <c r="GK278" s="191"/>
      <c r="GL278" s="191"/>
      <c r="GM278" s="191"/>
      <c r="GN278" s="191"/>
      <c r="GO278" s="191"/>
      <c r="GP278" s="191"/>
      <c r="GQ278" s="191"/>
      <c r="GR278" s="191"/>
      <c r="GS278" s="191"/>
      <c r="GT278" s="191"/>
      <c r="GU278" s="191"/>
      <c r="GV278" s="191"/>
      <c r="GW278" s="191"/>
      <c r="GX278" s="191"/>
      <c r="GY278" s="191"/>
      <c r="GZ278" s="191"/>
      <c r="HA278" s="191"/>
      <c r="HB278" s="191"/>
      <c r="HC278" s="191"/>
      <c r="HD278" s="191"/>
      <c r="HE278" s="191"/>
      <c r="HF278" s="191"/>
      <c r="HG278" s="191"/>
      <c r="HH278" s="191"/>
      <c r="HI278" s="191"/>
      <c r="HJ278" s="191"/>
      <c r="HK278" s="191"/>
      <c r="HL278" s="191"/>
      <c r="HM278" s="191"/>
      <c r="HN278" s="191"/>
      <c r="HO278" s="191"/>
      <c r="HP278" s="191"/>
      <c r="HQ278" s="191"/>
      <c r="HR278" s="191"/>
      <c r="HS278" s="191"/>
      <c r="HT278" s="191"/>
      <c r="HU278" s="191"/>
      <c r="HV278" s="191"/>
      <c r="HW278" s="191"/>
      <c r="HX278" s="191"/>
      <c r="HY278" s="191"/>
      <c r="HZ278" s="191"/>
      <c r="IA278" s="191"/>
      <c r="IB278" s="191"/>
      <c r="IC278" s="191"/>
      <c r="ID278" s="191"/>
      <c r="IE278" s="191"/>
      <c r="IF278" s="191"/>
      <c r="IG278" s="191"/>
      <c r="IH278" s="191"/>
      <c r="II278" s="191"/>
      <c r="IJ278" s="191"/>
      <c r="IK278" s="191"/>
      <c r="IL278" s="191"/>
      <c r="IM278" s="191"/>
      <c r="IN278" s="191"/>
      <c r="IO278" s="191"/>
      <c r="IP278" s="191"/>
      <c r="IQ278" s="191"/>
      <c r="IR278" s="191"/>
      <c r="IS278" s="191"/>
      <c r="IT278" s="191"/>
      <c r="IU278" s="191"/>
      <c r="IV278" s="191"/>
    </row>
    <row r="279" spans="1:34" ht="1.5" customHeight="1">
      <c r="A279" s="210"/>
      <c r="B279" s="206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191"/>
      <c r="U279" s="191"/>
      <c r="V279" s="191"/>
      <c r="W279" s="191"/>
      <c r="X279" s="460"/>
      <c r="AH279" s="377"/>
    </row>
    <row r="280" spans="1:34" ht="12.75">
      <c r="A280" s="263" t="s">
        <v>266</v>
      </c>
      <c r="B280" s="307" t="s">
        <v>222</v>
      </c>
      <c r="X280" s="460"/>
      <c r="AH280" s="377"/>
    </row>
    <row r="281" spans="24:34" ht="3" customHeight="1">
      <c r="X281" s="460"/>
      <c r="AH281" s="377"/>
    </row>
    <row r="282" spans="1:34" ht="14.25" customHeight="1">
      <c r="A282" s="886" t="s">
        <v>205</v>
      </c>
      <c r="B282" s="865" t="s">
        <v>223</v>
      </c>
      <c r="C282" s="866"/>
      <c r="D282" s="866"/>
      <c r="E282" s="866"/>
      <c r="F282" s="866"/>
      <c r="G282" s="866"/>
      <c r="H282" s="866"/>
      <c r="I282" s="866"/>
      <c r="J282" s="867"/>
      <c r="K282" s="815" t="s">
        <v>207</v>
      </c>
      <c r="L282" s="816"/>
      <c r="M282" s="816"/>
      <c r="N282" s="816"/>
      <c r="O282" s="816"/>
      <c r="P282" s="816"/>
      <c r="Q282" s="816"/>
      <c r="R282" s="816"/>
      <c r="S282" s="816"/>
      <c r="T282" s="816"/>
      <c r="U282" s="816"/>
      <c r="V282" s="816"/>
      <c r="W282" s="817"/>
      <c r="X282" s="460"/>
      <c r="AH282" s="377"/>
    </row>
    <row r="283" spans="1:34" ht="14.25" customHeight="1">
      <c r="A283" s="886"/>
      <c r="B283" s="868"/>
      <c r="C283" s="869"/>
      <c r="D283" s="869"/>
      <c r="E283" s="869"/>
      <c r="F283" s="869"/>
      <c r="G283" s="869"/>
      <c r="H283" s="869"/>
      <c r="I283" s="869"/>
      <c r="J283" s="870"/>
      <c r="K283" s="818" t="s">
        <v>208</v>
      </c>
      <c r="L283" s="819"/>
      <c r="M283" s="819"/>
      <c r="N283" s="819"/>
      <c r="O283" s="819"/>
      <c r="P283" s="819"/>
      <c r="Q283" s="819"/>
      <c r="R283" s="819"/>
      <c r="S283" s="819"/>
      <c r="T283" s="819"/>
      <c r="U283" s="819"/>
      <c r="V283" s="819"/>
      <c r="W283" s="820"/>
      <c r="X283" s="460"/>
      <c r="AH283" s="377"/>
    </row>
    <row r="284" spans="1:34" ht="14.25" customHeight="1">
      <c r="A284" s="886"/>
      <c r="B284" s="868"/>
      <c r="C284" s="869"/>
      <c r="D284" s="869"/>
      <c r="E284" s="869"/>
      <c r="F284" s="869"/>
      <c r="G284" s="869"/>
      <c r="H284" s="869"/>
      <c r="I284" s="869"/>
      <c r="J284" s="870"/>
      <c r="K284" s="964">
        <v>0</v>
      </c>
      <c r="L284" s="964"/>
      <c r="M284" s="964"/>
      <c r="N284" s="964"/>
      <c r="O284" s="964"/>
      <c r="P284" s="821">
        <v>10</v>
      </c>
      <c r="Q284" s="823"/>
      <c r="R284" s="823"/>
      <c r="S284" s="822"/>
      <c r="T284" s="821">
        <v>20</v>
      </c>
      <c r="U284" s="823"/>
      <c r="V284" s="823"/>
      <c r="W284" s="822"/>
      <c r="X284" s="460"/>
      <c r="AH284" s="377"/>
    </row>
    <row r="285" spans="1:34" ht="14.25" customHeight="1">
      <c r="A285" s="886"/>
      <c r="B285" s="868"/>
      <c r="C285" s="869"/>
      <c r="D285" s="869"/>
      <c r="E285" s="869"/>
      <c r="F285" s="869"/>
      <c r="G285" s="869"/>
      <c r="H285" s="869"/>
      <c r="I285" s="869"/>
      <c r="J285" s="870"/>
      <c r="K285" s="965" t="s">
        <v>290</v>
      </c>
      <c r="L285" s="965"/>
      <c r="M285" s="965"/>
      <c r="N285" s="965"/>
      <c r="O285" s="965"/>
      <c r="P285" s="781" t="s">
        <v>291</v>
      </c>
      <c r="Q285" s="782"/>
      <c r="R285" s="782"/>
      <c r="S285" s="783"/>
      <c r="T285" s="781" t="s">
        <v>224</v>
      </c>
      <c r="U285" s="782"/>
      <c r="V285" s="782"/>
      <c r="W285" s="783"/>
      <c r="X285" s="460"/>
      <c r="AH285" s="377"/>
    </row>
    <row r="286" spans="1:34" ht="14.25" customHeight="1">
      <c r="A286" s="886"/>
      <c r="B286" s="868"/>
      <c r="C286" s="869"/>
      <c r="D286" s="869"/>
      <c r="E286" s="869"/>
      <c r="F286" s="869"/>
      <c r="G286" s="869"/>
      <c r="H286" s="869"/>
      <c r="I286" s="869"/>
      <c r="J286" s="870"/>
      <c r="K286" s="965"/>
      <c r="L286" s="965"/>
      <c r="M286" s="965"/>
      <c r="N286" s="965"/>
      <c r="O286" s="965"/>
      <c r="P286" s="784"/>
      <c r="Q286" s="785"/>
      <c r="R286" s="785"/>
      <c r="S286" s="786"/>
      <c r="T286" s="784"/>
      <c r="U286" s="785"/>
      <c r="V286" s="785"/>
      <c r="W286" s="786"/>
      <c r="X286" s="460"/>
      <c r="AH286" s="377"/>
    </row>
    <row r="287" spans="1:34" ht="14.25" customHeight="1">
      <c r="A287" s="886"/>
      <c r="B287" s="868"/>
      <c r="C287" s="869"/>
      <c r="D287" s="869"/>
      <c r="E287" s="869"/>
      <c r="F287" s="869"/>
      <c r="G287" s="869"/>
      <c r="H287" s="869"/>
      <c r="I287" s="869"/>
      <c r="J287" s="870"/>
      <c r="K287" s="965"/>
      <c r="L287" s="965"/>
      <c r="M287" s="965"/>
      <c r="N287" s="965"/>
      <c r="O287" s="965"/>
      <c r="P287" s="784"/>
      <c r="Q287" s="785"/>
      <c r="R287" s="785"/>
      <c r="S287" s="786"/>
      <c r="T287" s="784"/>
      <c r="U287" s="785"/>
      <c r="V287" s="785"/>
      <c r="W287" s="786"/>
      <c r="X287" s="460"/>
      <c r="AE287" s="5" t="s">
        <v>408</v>
      </c>
      <c r="AH287" s="377"/>
    </row>
    <row r="288" spans="1:34" ht="10.5" customHeight="1">
      <c r="A288" s="886"/>
      <c r="B288" s="871"/>
      <c r="C288" s="872"/>
      <c r="D288" s="872"/>
      <c r="E288" s="872"/>
      <c r="F288" s="872"/>
      <c r="G288" s="872"/>
      <c r="H288" s="872"/>
      <c r="I288" s="872"/>
      <c r="J288" s="873"/>
      <c r="K288" s="965"/>
      <c r="L288" s="965"/>
      <c r="M288" s="965"/>
      <c r="N288" s="965"/>
      <c r="O288" s="965"/>
      <c r="P288" s="787"/>
      <c r="Q288" s="788"/>
      <c r="R288" s="788"/>
      <c r="S288" s="789"/>
      <c r="T288" s="784"/>
      <c r="U288" s="785"/>
      <c r="V288" s="785"/>
      <c r="W288" s="786"/>
      <c r="X288" s="460"/>
      <c r="Z288" s="251" t="s">
        <v>210</v>
      </c>
      <c r="AA288" s="252" t="s">
        <v>278</v>
      </c>
      <c r="AE288" s="292" t="s">
        <v>3</v>
      </c>
      <c r="AF288" s="293" t="s">
        <v>2</v>
      </c>
      <c r="AH288" s="377"/>
    </row>
    <row r="289" spans="1:34" ht="14.25" customHeight="1">
      <c r="A289" s="843" t="s">
        <v>189</v>
      </c>
      <c r="B289" s="772" t="s">
        <v>708</v>
      </c>
      <c r="C289" s="773"/>
      <c r="D289" s="773"/>
      <c r="E289" s="773"/>
      <c r="F289" s="773"/>
      <c r="G289" s="773"/>
      <c r="H289" s="773"/>
      <c r="I289" s="773"/>
      <c r="J289" s="774"/>
      <c r="K289" s="853">
        <f>IF(Y289=0,IF(FIO="","",0),"")</f>
      </c>
      <c r="L289" s="854"/>
      <c r="M289" s="854"/>
      <c r="N289" s="854"/>
      <c r="O289" s="855"/>
      <c r="P289" s="824"/>
      <c r="Q289" s="825"/>
      <c r="R289" s="825"/>
      <c r="S289" s="826"/>
      <c r="T289" s="824"/>
      <c r="U289" s="825"/>
      <c r="V289" s="825"/>
      <c r="W289" s="826"/>
      <c r="X289" s="460"/>
      <c r="Y289" s="968">
        <f>MAX(P289:W292)</f>
        <v>0</v>
      </c>
      <c r="Z289" s="253">
        <v>80</v>
      </c>
      <c r="AA289" s="270">
        <f>IF(z_kateg="высшая",AE289,AF289)</f>
        <v>50</v>
      </c>
      <c r="AE289" s="288">
        <v>60</v>
      </c>
      <c r="AF289" s="289">
        <v>50</v>
      </c>
      <c r="AH289" s="377"/>
    </row>
    <row r="290" spans="1:34" ht="14.25" customHeight="1">
      <c r="A290" s="844"/>
      <c r="B290" s="775"/>
      <c r="C290" s="776"/>
      <c r="D290" s="776"/>
      <c r="E290" s="776"/>
      <c r="F290" s="776"/>
      <c r="G290" s="776"/>
      <c r="H290" s="776"/>
      <c r="I290" s="776"/>
      <c r="J290" s="777"/>
      <c r="K290" s="856"/>
      <c r="L290" s="857"/>
      <c r="M290" s="857"/>
      <c r="N290" s="857"/>
      <c r="O290" s="858"/>
      <c r="P290" s="827"/>
      <c r="Q290" s="828"/>
      <c r="R290" s="828"/>
      <c r="S290" s="829"/>
      <c r="T290" s="827"/>
      <c r="U290" s="828"/>
      <c r="V290" s="828"/>
      <c r="W290" s="829"/>
      <c r="X290" s="460"/>
      <c r="Y290" s="968"/>
      <c r="AH290" s="377"/>
    </row>
    <row r="291" spans="1:34" ht="12.75">
      <c r="A291" s="844"/>
      <c r="B291" s="846" t="s">
        <v>288</v>
      </c>
      <c r="C291" s="847"/>
      <c r="D291" s="847"/>
      <c r="E291" s="847"/>
      <c r="F291" s="847"/>
      <c r="G291" s="847"/>
      <c r="H291" s="847"/>
      <c r="I291" s="847"/>
      <c r="J291" s="848"/>
      <c r="K291" s="856"/>
      <c r="L291" s="857"/>
      <c r="M291" s="857"/>
      <c r="N291" s="857"/>
      <c r="O291" s="858"/>
      <c r="P291" s="827"/>
      <c r="Q291" s="828"/>
      <c r="R291" s="828"/>
      <c r="S291" s="829"/>
      <c r="T291" s="827"/>
      <c r="U291" s="828"/>
      <c r="V291" s="828"/>
      <c r="W291" s="829"/>
      <c r="X291" s="460"/>
      <c r="Y291" s="968"/>
      <c r="AH291" s="377"/>
    </row>
    <row r="292" spans="1:34" ht="12.75">
      <c r="A292" s="845"/>
      <c r="B292" s="849"/>
      <c r="C292" s="850"/>
      <c r="D292" s="850"/>
      <c r="E292" s="850"/>
      <c r="F292" s="850"/>
      <c r="G292" s="850"/>
      <c r="H292" s="850"/>
      <c r="I292" s="850"/>
      <c r="J292" s="851"/>
      <c r="K292" s="859"/>
      <c r="L292" s="860"/>
      <c r="M292" s="860"/>
      <c r="N292" s="860"/>
      <c r="O292" s="861"/>
      <c r="P292" s="830"/>
      <c r="Q292" s="831"/>
      <c r="R292" s="831"/>
      <c r="S292" s="832"/>
      <c r="T292" s="830"/>
      <c r="U292" s="831"/>
      <c r="V292" s="831"/>
      <c r="W292" s="832"/>
      <c r="X292" s="460"/>
      <c r="Y292" s="968"/>
      <c r="AH292" s="377"/>
    </row>
    <row r="293" spans="1:34" ht="12.75">
      <c r="A293" s="843" t="s">
        <v>191</v>
      </c>
      <c r="B293" s="772" t="s">
        <v>709</v>
      </c>
      <c r="C293" s="773"/>
      <c r="D293" s="773"/>
      <c r="E293" s="773"/>
      <c r="F293" s="773"/>
      <c r="G293" s="773"/>
      <c r="H293" s="773"/>
      <c r="I293" s="773"/>
      <c r="J293" s="774"/>
      <c r="K293" s="853">
        <f>IF(Y293=0,IF(FIO="","",0),"")</f>
      </c>
      <c r="L293" s="854"/>
      <c r="M293" s="854"/>
      <c r="N293" s="854"/>
      <c r="O293" s="855"/>
      <c r="P293" s="824"/>
      <c r="Q293" s="825"/>
      <c r="R293" s="825"/>
      <c r="S293" s="826"/>
      <c r="T293" s="824"/>
      <c r="U293" s="825"/>
      <c r="V293" s="825"/>
      <c r="W293" s="826"/>
      <c r="X293" s="460"/>
      <c r="Y293" s="968">
        <f>MAX(P293:W296)</f>
        <v>0</v>
      </c>
      <c r="AB293" s="5" t="s">
        <v>289</v>
      </c>
      <c r="AH293" s="377"/>
    </row>
    <row r="294" spans="1:34" ht="12.75">
      <c r="A294" s="844"/>
      <c r="B294" s="775"/>
      <c r="C294" s="776"/>
      <c r="D294" s="776"/>
      <c r="E294" s="776"/>
      <c r="F294" s="776"/>
      <c r="G294" s="776"/>
      <c r="H294" s="776"/>
      <c r="I294" s="776"/>
      <c r="J294" s="777"/>
      <c r="K294" s="856"/>
      <c r="L294" s="857"/>
      <c r="M294" s="857"/>
      <c r="N294" s="857"/>
      <c r="O294" s="858"/>
      <c r="P294" s="827"/>
      <c r="Q294" s="828"/>
      <c r="R294" s="828"/>
      <c r="S294" s="829"/>
      <c r="T294" s="827"/>
      <c r="U294" s="828"/>
      <c r="V294" s="828"/>
      <c r="W294" s="829"/>
      <c r="X294" s="460"/>
      <c r="Y294" s="968"/>
      <c r="AH294" s="377"/>
    </row>
    <row r="295" spans="1:34" ht="12.75">
      <c r="A295" s="844"/>
      <c r="B295" s="775"/>
      <c r="C295" s="776"/>
      <c r="D295" s="776"/>
      <c r="E295" s="776"/>
      <c r="F295" s="776"/>
      <c r="G295" s="776"/>
      <c r="H295" s="776"/>
      <c r="I295" s="776"/>
      <c r="J295" s="777"/>
      <c r="K295" s="856"/>
      <c r="L295" s="857"/>
      <c r="M295" s="857"/>
      <c r="N295" s="857"/>
      <c r="O295" s="858"/>
      <c r="P295" s="827"/>
      <c r="Q295" s="828"/>
      <c r="R295" s="828"/>
      <c r="S295" s="829"/>
      <c r="T295" s="827"/>
      <c r="U295" s="828"/>
      <c r="V295" s="828"/>
      <c r="W295" s="829"/>
      <c r="X295" s="460"/>
      <c r="Y295" s="968"/>
      <c r="AH295" s="377"/>
    </row>
    <row r="296" spans="1:34" ht="8.25" customHeight="1">
      <c r="A296" s="845"/>
      <c r="B296" s="778"/>
      <c r="C296" s="779"/>
      <c r="D296" s="779"/>
      <c r="E296" s="779"/>
      <c r="F296" s="779"/>
      <c r="G296" s="779"/>
      <c r="H296" s="779"/>
      <c r="I296" s="779"/>
      <c r="J296" s="780"/>
      <c r="K296" s="859"/>
      <c r="L296" s="860"/>
      <c r="M296" s="860"/>
      <c r="N296" s="860"/>
      <c r="O296" s="861"/>
      <c r="P296" s="830"/>
      <c r="Q296" s="831"/>
      <c r="R296" s="831"/>
      <c r="S296" s="832"/>
      <c r="T296" s="830"/>
      <c r="U296" s="831"/>
      <c r="V296" s="831"/>
      <c r="W296" s="832"/>
      <c r="X296" s="460"/>
      <c r="Y296" s="968"/>
      <c r="AH296" s="377"/>
    </row>
    <row r="297" spans="1:34" ht="12.75">
      <c r="A297" s="843" t="s">
        <v>192</v>
      </c>
      <c r="B297" s="772" t="s">
        <v>710</v>
      </c>
      <c r="C297" s="773"/>
      <c r="D297" s="773"/>
      <c r="E297" s="773"/>
      <c r="F297" s="773"/>
      <c r="G297" s="773"/>
      <c r="H297" s="773"/>
      <c r="I297" s="773"/>
      <c r="J297" s="774"/>
      <c r="K297" s="853">
        <f>IF(Y297=0,IF(FIO="","",0),"")</f>
      </c>
      <c r="L297" s="854"/>
      <c r="M297" s="854"/>
      <c r="N297" s="854"/>
      <c r="O297" s="855"/>
      <c r="P297" s="824"/>
      <c r="Q297" s="825"/>
      <c r="R297" s="825"/>
      <c r="S297" s="826"/>
      <c r="T297" s="824"/>
      <c r="U297" s="825"/>
      <c r="V297" s="825"/>
      <c r="W297" s="826"/>
      <c r="X297" s="460"/>
      <c r="Y297" s="968">
        <f>MAX(P297:W301)</f>
        <v>0</v>
      </c>
      <c r="AH297" s="377"/>
    </row>
    <row r="298" spans="1:34" ht="12.75">
      <c r="A298" s="844"/>
      <c r="B298" s="775"/>
      <c r="C298" s="776"/>
      <c r="D298" s="776"/>
      <c r="E298" s="776"/>
      <c r="F298" s="776"/>
      <c r="G298" s="776"/>
      <c r="H298" s="776"/>
      <c r="I298" s="776"/>
      <c r="J298" s="777"/>
      <c r="K298" s="856"/>
      <c r="L298" s="857"/>
      <c r="M298" s="857"/>
      <c r="N298" s="857"/>
      <c r="O298" s="858"/>
      <c r="P298" s="827"/>
      <c r="Q298" s="828"/>
      <c r="R298" s="828"/>
      <c r="S298" s="829"/>
      <c r="T298" s="827"/>
      <c r="U298" s="828"/>
      <c r="V298" s="828"/>
      <c r="W298" s="829"/>
      <c r="X298" s="460"/>
      <c r="Y298" s="968"/>
      <c r="AH298" s="377"/>
    </row>
    <row r="299" spans="1:34" ht="12.75">
      <c r="A299" s="844"/>
      <c r="B299" s="775"/>
      <c r="C299" s="776"/>
      <c r="D299" s="776"/>
      <c r="E299" s="776"/>
      <c r="F299" s="776"/>
      <c r="G299" s="776"/>
      <c r="H299" s="776"/>
      <c r="I299" s="776"/>
      <c r="J299" s="777"/>
      <c r="K299" s="856"/>
      <c r="L299" s="857"/>
      <c r="M299" s="857"/>
      <c r="N299" s="857"/>
      <c r="O299" s="858"/>
      <c r="P299" s="827"/>
      <c r="Q299" s="828"/>
      <c r="R299" s="828"/>
      <c r="S299" s="829"/>
      <c r="T299" s="827"/>
      <c r="U299" s="828"/>
      <c r="V299" s="828"/>
      <c r="W299" s="829"/>
      <c r="X299" s="460"/>
      <c r="Y299" s="968"/>
      <c r="AH299" s="377"/>
    </row>
    <row r="300" spans="1:34" ht="12.75">
      <c r="A300" s="844"/>
      <c r="B300" s="775"/>
      <c r="C300" s="776"/>
      <c r="D300" s="776"/>
      <c r="E300" s="776"/>
      <c r="F300" s="776"/>
      <c r="G300" s="776"/>
      <c r="H300" s="776"/>
      <c r="I300" s="776"/>
      <c r="J300" s="777"/>
      <c r="K300" s="856"/>
      <c r="L300" s="857"/>
      <c r="M300" s="857"/>
      <c r="N300" s="857"/>
      <c r="O300" s="858"/>
      <c r="P300" s="827"/>
      <c r="Q300" s="828"/>
      <c r="R300" s="828"/>
      <c r="S300" s="829"/>
      <c r="T300" s="827"/>
      <c r="U300" s="828"/>
      <c r="V300" s="828"/>
      <c r="W300" s="829"/>
      <c r="X300" s="460"/>
      <c r="Y300" s="968"/>
      <c r="AH300" s="377"/>
    </row>
    <row r="301" spans="1:34" ht="8.25" customHeight="1">
      <c r="A301" s="845"/>
      <c r="B301" s="778"/>
      <c r="C301" s="779"/>
      <c r="D301" s="779"/>
      <c r="E301" s="779"/>
      <c r="F301" s="779"/>
      <c r="G301" s="779"/>
      <c r="H301" s="779"/>
      <c r="I301" s="779"/>
      <c r="J301" s="780"/>
      <c r="K301" s="859"/>
      <c r="L301" s="860"/>
      <c r="M301" s="860"/>
      <c r="N301" s="860"/>
      <c r="O301" s="861"/>
      <c r="P301" s="830"/>
      <c r="Q301" s="831"/>
      <c r="R301" s="831"/>
      <c r="S301" s="832"/>
      <c r="T301" s="830"/>
      <c r="U301" s="831"/>
      <c r="V301" s="831"/>
      <c r="W301" s="832"/>
      <c r="X301" s="460"/>
      <c r="Y301" s="968"/>
      <c r="AH301" s="377"/>
    </row>
    <row r="302" spans="1:34" ht="12.75" customHeight="1">
      <c r="A302" s="843" t="s">
        <v>193</v>
      </c>
      <c r="B302" s="772" t="s">
        <v>711</v>
      </c>
      <c r="C302" s="773"/>
      <c r="D302" s="773"/>
      <c r="E302" s="773"/>
      <c r="F302" s="773"/>
      <c r="G302" s="773"/>
      <c r="H302" s="773"/>
      <c r="I302" s="773"/>
      <c r="J302" s="774"/>
      <c r="K302" s="853">
        <f>IF(Y302=0,IF(FIO="","",0),"")</f>
      </c>
      <c r="L302" s="854"/>
      <c r="M302" s="854"/>
      <c r="N302" s="854"/>
      <c r="O302" s="855"/>
      <c r="P302" s="824"/>
      <c r="Q302" s="825"/>
      <c r="R302" s="825"/>
      <c r="S302" s="826"/>
      <c r="T302" s="824"/>
      <c r="U302" s="825"/>
      <c r="V302" s="825"/>
      <c r="W302" s="826"/>
      <c r="X302" s="460"/>
      <c r="Y302" s="968">
        <f>MAX(P302:W305)</f>
        <v>0</v>
      </c>
      <c r="AH302" s="377"/>
    </row>
    <row r="303" spans="1:34" ht="3" customHeight="1">
      <c r="A303" s="844"/>
      <c r="B303" s="775"/>
      <c r="C303" s="776"/>
      <c r="D303" s="776"/>
      <c r="E303" s="776"/>
      <c r="F303" s="776"/>
      <c r="G303" s="776"/>
      <c r="H303" s="776"/>
      <c r="I303" s="776"/>
      <c r="J303" s="777"/>
      <c r="K303" s="856"/>
      <c r="L303" s="857"/>
      <c r="M303" s="857"/>
      <c r="N303" s="857"/>
      <c r="O303" s="858"/>
      <c r="P303" s="827"/>
      <c r="Q303" s="828"/>
      <c r="R303" s="828"/>
      <c r="S303" s="829"/>
      <c r="T303" s="827"/>
      <c r="U303" s="828"/>
      <c r="V303" s="828"/>
      <c r="W303" s="829"/>
      <c r="X303" s="460"/>
      <c r="Y303" s="968"/>
      <c r="AH303" s="377"/>
    </row>
    <row r="304" spans="1:34" ht="3.75" customHeight="1">
      <c r="A304" s="844"/>
      <c r="B304" s="775"/>
      <c r="C304" s="776"/>
      <c r="D304" s="776"/>
      <c r="E304" s="776"/>
      <c r="F304" s="776"/>
      <c r="G304" s="776"/>
      <c r="H304" s="776"/>
      <c r="I304" s="776"/>
      <c r="J304" s="777"/>
      <c r="K304" s="856"/>
      <c r="L304" s="857"/>
      <c r="M304" s="857"/>
      <c r="N304" s="857"/>
      <c r="O304" s="858"/>
      <c r="P304" s="827"/>
      <c r="Q304" s="828"/>
      <c r="R304" s="828"/>
      <c r="S304" s="829"/>
      <c r="T304" s="827"/>
      <c r="U304" s="828"/>
      <c r="V304" s="828"/>
      <c r="W304" s="829"/>
      <c r="X304" s="460"/>
      <c r="Y304" s="968"/>
      <c r="AH304" s="377"/>
    </row>
    <row r="305" spans="1:34" ht="12.75">
      <c r="A305" s="845"/>
      <c r="B305" s="778"/>
      <c r="C305" s="779"/>
      <c r="D305" s="779"/>
      <c r="E305" s="779"/>
      <c r="F305" s="779"/>
      <c r="G305" s="779"/>
      <c r="H305" s="779"/>
      <c r="I305" s="779"/>
      <c r="J305" s="780"/>
      <c r="K305" s="859"/>
      <c r="L305" s="860"/>
      <c r="M305" s="860"/>
      <c r="N305" s="860"/>
      <c r="O305" s="861"/>
      <c r="P305" s="830"/>
      <c r="Q305" s="831"/>
      <c r="R305" s="831"/>
      <c r="S305" s="832"/>
      <c r="T305" s="830"/>
      <c r="U305" s="831"/>
      <c r="V305" s="831"/>
      <c r="W305" s="832"/>
      <c r="X305" s="460"/>
      <c r="Y305" s="968"/>
      <c r="AH305" s="377"/>
    </row>
    <row r="306" spans="1:34" ht="6.75" customHeight="1">
      <c r="A306" s="276"/>
      <c r="B306" s="226"/>
      <c r="C306" s="226"/>
      <c r="D306" s="226"/>
      <c r="E306" s="226"/>
      <c r="F306" s="12"/>
      <c r="G306" s="12"/>
      <c r="H306" s="12"/>
      <c r="I306" s="12"/>
      <c r="J306" s="12"/>
      <c r="K306" s="12"/>
      <c r="L306" s="205"/>
      <c r="M306" s="205"/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460"/>
      <c r="AH306" s="377"/>
    </row>
    <row r="307" spans="1:34" ht="12.75">
      <c r="A307" s="263" t="s">
        <v>225</v>
      </c>
      <c r="B307" s="307" t="s">
        <v>226</v>
      </c>
      <c r="X307" s="460"/>
      <c r="AH307" s="377"/>
    </row>
    <row r="308" spans="1:34" ht="12.75">
      <c r="A308" s="297" t="s">
        <v>227</v>
      </c>
      <c r="X308" s="460"/>
      <c r="AH308" s="377"/>
    </row>
    <row r="309" spans="1:34" ht="14.25">
      <c r="A309" s="886" t="s">
        <v>205</v>
      </c>
      <c r="B309" s="1090" t="s">
        <v>471</v>
      </c>
      <c r="C309" s="1091"/>
      <c r="D309" s="1091"/>
      <c r="E309" s="1091"/>
      <c r="F309" s="1091"/>
      <c r="G309" s="1091"/>
      <c r="H309" s="1091"/>
      <c r="I309" s="1091"/>
      <c r="J309" s="1092"/>
      <c r="K309" s="815" t="s">
        <v>218</v>
      </c>
      <c r="L309" s="816"/>
      <c r="M309" s="816"/>
      <c r="N309" s="816"/>
      <c r="O309" s="816"/>
      <c r="P309" s="816"/>
      <c r="Q309" s="816"/>
      <c r="R309" s="816"/>
      <c r="S309" s="816"/>
      <c r="T309" s="816"/>
      <c r="U309" s="816"/>
      <c r="V309" s="816"/>
      <c r="W309" s="817"/>
      <c r="X309" s="460"/>
      <c r="AH309" s="377"/>
    </row>
    <row r="310" spans="1:34" ht="12.75">
      <c r="A310" s="886"/>
      <c r="B310" s="1093"/>
      <c r="C310" s="1094"/>
      <c r="D310" s="1094"/>
      <c r="E310" s="1094"/>
      <c r="F310" s="1094"/>
      <c r="G310" s="1094"/>
      <c r="H310" s="1094"/>
      <c r="I310" s="1094"/>
      <c r="J310" s="1095"/>
      <c r="K310" s="818" t="s">
        <v>208</v>
      </c>
      <c r="L310" s="819"/>
      <c r="M310" s="819"/>
      <c r="N310" s="819"/>
      <c r="O310" s="819"/>
      <c r="P310" s="819"/>
      <c r="Q310" s="819"/>
      <c r="R310" s="819"/>
      <c r="S310" s="819"/>
      <c r="T310" s="819"/>
      <c r="U310" s="819"/>
      <c r="V310" s="819"/>
      <c r="W310" s="820"/>
      <c r="X310" s="460"/>
      <c r="AH310" s="377"/>
    </row>
    <row r="311" spans="1:34" ht="12.75">
      <c r="A311" s="886"/>
      <c r="B311" s="1093"/>
      <c r="C311" s="1094"/>
      <c r="D311" s="1094"/>
      <c r="E311" s="1094"/>
      <c r="F311" s="1094"/>
      <c r="G311" s="1094"/>
      <c r="H311" s="1094"/>
      <c r="I311" s="1094"/>
      <c r="J311" s="1095"/>
      <c r="K311" s="887">
        <v>0</v>
      </c>
      <c r="L311" s="887"/>
      <c r="M311" s="887"/>
      <c r="N311" s="887"/>
      <c r="O311" s="887"/>
      <c r="P311" s="821">
        <v>10</v>
      </c>
      <c r="Q311" s="823"/>
      <c r="R311" s="823"/>
      <c r="S311" s="822"/>
      <c r="T311" s="821">
        <v>20</v>
      </c>
      <c r="U311" s="823"/>
      <c r="V311" s="823"/>
      <c r="W311" s="822"/>
      <c r="X311" s="460"/>
      <c r="AH311" s="377"/>
    </row>
    <row r="312" spans="1:34" ht="12.75">
      <c r="A312" s="886"/>
      <c r="B312" s="1093"/>
      <c r="C312" s="1094"/>
      <c r="D312" s="1094"/>
      <c r="E312" s="1094"/>
      <c r="F312" s="1094"/>
      <c r="G312" s="1094"/>
      <c r="H312" s="1094"/>
      <c r="I312" s="1094"/>
      <c r="J312" s="1095"/>
      <c r="K312" s="965" t="s">
        <v>470</v>
      </c>
      <c r="L312" s="965"/>
      <c r="M312" s="965"/>
      <c r="N312" s="965"/>
      <c r="O312" s="965"/>
      <c r="P312" s="781" t="s">
        <v>291</v>
      </c>
      <c r="Q312" s="782"/>
      <c r="R312" s="782"/>
      <c r="S312" s="783"/>
      <c r="T312" s="781" t="s">
        <v>224</v>
      </c>
      <c r="U312" s="782"/>
      <c r="V312" s="782"/>
      <c r="W312" s="783"/>
      <c r="X312" s="460"/>
      <c r="AH312" s="377"/>
    </row>
    <row r="313" spans="1:34" ht="14.25" customHeight="1">
      <c r="A313" s="886"/>
      <c r="B313" s="1099" t="s">
        <v>472</v>
      </c>
      <c r="C313" s="1100"/>
      <c r="D313" s="1100"/>
      <c r="E313" s="1100"/>
      <c r="F313" s="1100"/>
      <c r="G313" s="1100"/>
      <c r="H313" s="1100"/>
      <c r="I313" s="1100"/>
      <c r="J313" s="1101"/>
      <c r="K313" s="965"/>
      <c r="L313" s="965"/>
      <c r="M313" s="965"/>
      <c r="N313" s="965"/>
      <c r="O313" s="965"/>
      <c r="P313" s="784"/>
      <c r="Q313" s="785"/>
      <c r="R313" s="785"/>
      <c r="S313" s="786"/>
      <c r="T313" s="784"/>
      <c r="U313" s="785"/>
      <c r="V313" s="785"/>
      <c r="W313" s="786"/>
      <c r="X313" s="460"/>
      <c r="AH313" s="377"/>
    </row>
    <row r="314" spans="1:34" ht="12.75">
      <c r="A314" s="886"/>
      <c r="B314" s="1099"/>
      <c r="C314" s="1100"/>
      <c r="D314" s="1100"/>
      <c r="E314" s="1100"/>
      <c r="F314" s="1100"/>
      <c r="G314" s="1100"/>
      <c r="H314" s="1100"/>
      <c r="I314" s="1100"/>
      <c r="J314" s="1101"/>
      <c r="K314" s="965"/>
      <c r="L314" s="965"/>
      <c r="M314" s="965"/>
      <c r="N314" s="965"/>
      <c r="O314" s="965"/>
      <c r="P314" s="784"/>
      <c r="Q314" s="785"/>
      <c r="R314" s="785"/>
      <c r="S314" s="786"/>
      <c r="T314" s="784"/>
      <c r="U314" s="785"/>
      <c r="V314" s="785"/>
      <c r="W314" s="786"/>
      <c r="X314" s="460"/>
      <c r="AH314" s="377"/>
    </row>
    <row r="315" spans="1:34" ht="3" customHeight="1">
      <c r="A315" s="886"/>
      <c r="B315" s="1102"/>
      <c r="C315" s="1103"/>
      <c r="D315" s="1103"/>
      <c r="E315" s="1103"/>
      <c r="F315" s="1103"/>
      <c r="G315" s="1103"/>
      <c r="H315" s="1103"/>
      <c r="I315" s="1103"/>
      <c r="J315" s="1104"/>
      <c r="K315" s="972"/>
      <c r="L315" s="972"/>
      <c r="M315" s="972"/>
      <c r="N315" s="972"/>
      <c r="O315" s="972"/>
      <c r="P315" s="787"/>
      <c r="Q315" s="788"/>
      <c r="R315" s="788"/>
      <c r="S315" s="789"/>
      <c r="T315" s="784"/>
      <c r="U315" s="785"/>
      <c r="V315" s="785"/>
      <c r="W315" s="786"/>
      <c r="X315" s="460"/>
      <c r="AH315" s="377"/>
    </row>
    <row r="316" spans="1:34" ht="14.25" customHeight="1">
      <c r="A316" s="888" t="s">
        <v>189</v>
      </c>
      <c r="B316" s="1081"/>
      <c r="C316" s="1082"/>
      <c r="D316" s="1082"/>
      <c r="E316" s="1082"/>
      <c r="F316" s="1082"/>
      <c r="G316" s="1082"/>
      <c r="H316" s="1082"/>
      <c r="I316" s="1082"/>
      <c r="J316" s="1083"/>
      <c r="K316" s="854">
        <f>IF(AND(FIO&lt;&gt;"",P316="",T316=""),0,IF(z_kateg="первая","Не заполнять  на первую кв.кат.!",""))</f>
      </c>
      <c r="L316" s="854"/>
      <c r="M316" s="854"/>
      <c r="N316" s="854"/>
      <c r="O316" s="855"/>
      <c r="P316" s="791"/>
      <c r="Q316" s="791"/>
      <c r="R316" s="791"/>
      <c r="S316" s="791"/>
      <c r="T316" s="824"/>
      <c r="U316" s="825"/>
      <c r="V316" s="825"/>
      <c r="W316" s="826"/>
      <c r="X316" s="460"/>
      <c r="Y316" s="968">
        <f>IF(z_kateg="первая",0,MAX(K316:W319))</f>
        <v>0</v>
      </c>
      <c r="Z316" s="251" t="s">
        <v>210</v>
      </c>
      <c r="AA316" s="252" t="s">
        <v>278</v>
      </c>
      <c r="AE316" s="292" t="s">
        <v>3</v>
      </c>
      <c r="AF316" s="293" t="s">
        <v>2</v>
      </c>
      <c r="AH316" s="377"/>
    </row>
    <row r="317" spans="1:34" ht="14.25" customHeight="1">
      <c r="A317" s="889"/>
      <c r="B317" s="1084"/>
      <c r="C317" s="1085"/>
      <c r="D317" s="1085"/>
      <c r="E317" s="1085"/>
      <c r="F317" s="1085"/>
      <c r="G317" s="1085"/>
      <c r="H317" s="1085"/>
      <c r="I317" s="1085"/>
      <c r="J317" s="1086"/>
      <c r="K317" s="857"/>
      <c r="L317" s="857"/>
      <c r="M317" s="857"/>
      <c r="N317" s="857"/>
      <c r="O317" s="858"/>
      <c r="P317" s="791"/>
      <c r="Q317" s="791"/>
      <c r="R317" s="791"/>
      <c r="S317" s="791"/>
      <c r="T317" s="827"/>
      <c r="U317" s="828"/>
      <c r="V317" s="828"/>
      <c r="W317" s="829"/>
      <c r="X317" s="460"/>
      <c r="Y317" s="968"/>
      <c r="Z317" s="253">
        <v>40</v>
      </c>
      <c r="AA317" s="270">
        <f>IF(z_kateg="высшая",AE317,AF317)</f>
        <v>0</v>
      </c>
      <c r="AE317" s="288">
        <v>40</v>
      </c>
      <c r="AF317" s="289">
        <v>0</v>
      </c>
      <c r="AH317" s="377"/>
    </row>
    <row r="318" spans="1:34" ht="14.25" customHeight="1">
      <c r="A318" s="889"/>
      <c r="B318" s="1084"/>
      <c r="C318" s="1085"/>
      <c r="D318" s="1085"/>
      <c r="E318" s="1085"/>
      <c r="F318" s="1085"/>
      <c r="G318" s="1085"/>
      <c r="H318" s="1085"/>
      <c r="I318" s="1085"/>
      <c r="J318" s="1086"/>
      <c r="K318" s="857"/>
      <c r="L318" s="857"/>
      <c r="M318" s="857"/>
      <c r="N318" s="857"/>
      <c r="O318" s="858"/>
      <c r="P318" s="791"/>
      <c r="Q318" s="791"/>
      <c r="R318" s="791"/>
      <c r="S318" s="791"/>
      <c r="T318" s="827"/>
      <c r="U318" s="828"/>
      <c r="V318" s="828"/>
      <c r="W318" s="829"/>
      <c r="X318" s="460"/>
      <c r="Y318" s="968"/>
      <c r="AH318" s="377"/>
    </row>
    <row r="319" spans="1:34" ht="10.5" customHeight="1">
      <c r="A319" s="890"/>
      <c r="B319" s="1087"/>
      <c r="C319" s="1088"/>
      <c r="D319" s="1088"/>
      <c r="E319" s="1088"/>
      <c r="F319" s="1088"/>
      <c r="G319" s="1088"/>
      <c r="H319" s="1088"/>
      <c r="I319" s="1088"/>
      <c r="J319" s="1089"/>
      <c r="K319" s="860"/>
      <c r="L319" s="860"/>
      <c r="M319" s="860"/>
      <c r="N319" s="860"/>
      <c r="O319" s="861"/>
      <c r="P319" s="791"/>
      <c r="Q319" s="791"/>
      <c r="R319" s="791"/>
      <c r="S319" s="791"/>
      <c r="T319" s="830"/>
      <c r="U319" s="831"/>
      <c r="V319" s="831"/>
      <c r="W319" s="832"/>
      <c r="X319" s="460"/>
      <c r="Y319" s="968"/>
      <c r="AH319" s="377"/>
    </row>
    <row r="320" spans="1:34" ht="14.25" customHeight="1">
      <c r="A320" s="843" t="s">
        <v>191</v>
      </c>
      <c r="B320" s="1081"/>
      <c r="C320" s="1082"/>
      <c r="D320" s="1082"/>
      <c r="E320" s="1082"/>
      <c r="F320" s="1082"/>
      <c r="G320" s="1082"/>
      <c r="H320" s="1082"/>
      <c r="I320" s="1082"/>
      <c r="J320" s="1083"/>
      <c r="K320" s="854">
        <f>IF(AND(FIO&lt;&gt;"",P320="",T320=""),0,IF(z_kateg="первая","Не заполнять  на первую кв.кат.!",""))</f>
      </c>
      <c r="L320" s="854"/>
      <c r="M320" s="854"/>
      <c r="N320" s="854"/>
      <c r="O320" s="855"/>
      <c r="P320" s="791"/>
      <c r="Q320" s="791"/>
      <c r="R320" s="791"/>
      <c r="S320" s="791"/>
      <c r="T320" s="824"/>
      <c r="U320" s="825"/>
      <c r="V320" s="825"/>
      <c r="W320" s="826"/>
      <c r="X320" s="460"/>
      <c r="Y320" s="968">
        <f>IF(z_kateg="первая",0,MAX(K320:W323))</f>
        <v>0</v>
      </c>
      <c r="AH320" s="377"/>
    </row>
    <row r="321" spans="1:34" ht="14.25" customHeight="1">
      <c r="A321" s="844"/>
      <c r="B321" s="1084"/>
      <c r="C321" s="1085"/>
      <c r="D321" s="1085"/>
      <c r="E321" s="1085"/>
      <c r="F321" s="1085"/>
      <c r="G321" s="1085"/>
      <c r="H321" s="1085"/>
      <c r="I321" s="1085"/>
      <c r="J321" s="1086"/>
      <c r="K321" s="857"/>
      <c r="L321" s="857"/>
      <c r="M321" s="857"/>
      <c r="N321" s="857"/>
      <c r="O321" s="858"/>
      <c r="P321" s="791"/>
      <c r="Q321" s="791"/>
      <c r="R321" s="791"/>
      <c r="S321" s="791"/>
      <c r="T321" s="827"/>
      <c r="U321" s="828"/>
      <c r="V321" s="828"/>
      <c r="W321" s="829"/>
      <c r="X321" s="460"/>
      <c r="Y321" s="968"/>
      <c r="AH321" s="377"/>
    </row>
    <row r="322" spans="1:34" ht="14.25" customHeight="1">
      <c r="A322" s="844"/>
      <c r="B322" s="1084"/>
      <c r="C322" s="1085"/>
      <c r="D322" s="1085"/>
      <c r="E322" s="1085"/>
      <c r="F322" s="1085"/>
      <c r="G322" s="1085"/>
      <c r="H322" s="1085"/>
      <c r="I322" s="1085"/>
      <c r="J322" s="1086"/>
      <c r="K322" s="857"/>
      <c r="L322" s="857"/>
      <c r="M322" s="857"/>
      <c r="N322" s="857"/>
      <c r="O322" s="858"/>
      <c r="P322" s="791"/>
      <c r="Q322" s="791"/>
      <c r="R322" s="791"/>
      <c r="S322" s="791"/>
      <c r="T322" s="827"/>
      <c r="U322" s="828"/>
      <c r="V322" s="828"/>
      <c r="W322" s="829"/>
      <c r="X322" s="460"/>
      <c r="Y322" s="968"/>
      <c r="AH322" s="377"/>
    </row>
    <row r="323" spans="1:34" ht="11.25" customHeight="1">
      <c r="A323" s="845"/>
      <c r="B323" s="1087"/>
      <c r="C323" s="1088"/>
      <c r="D323" s="1088"/>
      <c r="E323" s="1088"/>
      <c r="F323" s="1088"/>
      <c r="G323" s="1088"/>
      <c r="H323" s="1088"/>
      <c r="I323" s="1088"/>
      <c r="J323" s="1089"/>
      <c r="K323" s="860"/>
      <c r="L323" s="860"/>
      <c r="M323" s="860"/>
      <c r="N323" s="860"/>
      <c r="O323" s="861"/>
      <c r="P323" s="791"/>
      <c r="Q323" s="791"/>
      <c r="R323" s="791"/>
      <c r="S323" s="791"/>
      <c r="T323" s="830"/>
      <c r="U323" s="831"/>
      <c r="V323" s="831"/>
      <c r="W323" s="832"/>
      <c r="X323" s="460"/>
      <c r="Y323" s="968"/>
      <c r="AH323" s="377"/>
    </row>
    <row r="324" spans="24:34" ht="6.75" customHeight="1">
      <c r="X324" s="460"/>
      <c r="AH324" s="377"/>
    </row>
    <row r="325" spans="1:34" ht="13.5">
      <c r="A325" s="263" t="s">
        <v>228</v>
      </c>
      <c r="B325" s="198" t="s">
        <v>229</v>
      </c>
      <c r="X325" s="460"/>
      <c r="AH325" s="377"/>
    </row>
    <row r="326" spans="1:34" ht="13.5">
      <c r="A326" s="812" t="s">
        <v>205</v>
      </c>
      <c r="B326" s="798" t="s">
        <v>206</v>
      </c>
      <c r="C326" s="799"/>
      <c r="D326" s="799"/>
      <c r="E326" s="799"/>
      <c r="F326" s="799"/>
      <c r="G326" s="799"/>
      <c r="H326" s="799"/>
      <c r="I326" s="815" t="s">
        <v>207</v>
      </c>
      <c r="J326" s="816"/>
      <c r="K326" s="816"/>
      <c r="L326" s="816"/>
      <c r="M326" s="816"/>
      <c r="N326" s="816"/>
      <c r="O326" s="816"/>
      <c r="P326" s="816"/>
      <c r="Q326" s="816"/>
      <c r="R326" s="816"/>
      <c r="S326" s="816"/>
      <c r="T326" s="816"/>
      <c r="U326" s="816"/>
      <c r="V326" s="816"/>
      <c r="W326" s="817"/>
      <c r="X326" s="460"/>
      <c r="AH326" s="377"/>
    </row>
    <row r="327" spans="1:34" ht="14.25" customHeight="1">
      <c r="A327" s="813"/>
      <c r="B327" s="801"/>
      <c r="C327" s="802"/>
      <c r="D327" s="802"/>
      <c r="E327" s="802"/>
      <c r="F327" s="802"/>
      <c r="G327" s="802"/>
      <c r="H327" s="802"/>
      <c r="I327" s="818" t="s">
        <v>208</v>
      </c>
      <c r="J327" s="819"/>
      <c r="K327" s="819"/>
      <c r="L327" s="819"/>
      <c r="M327" s="819"/>
      <c r="N327" s="819"/>
      <c r="O327" s="819"/>
      <c r="P327" s="819"/>
      <c r="Q327" s="819"/>
      <c r="R327" s="819"/>
      <c r="S327" s="819"/>
      <c r="T327" s="819"/>
      <c r="U327" s="819"/>
      <c r="V327" s="819"/>
      <c r="W327" s="820"/>
      <c r="X327" s="460"/>
      <c r="AH327" s="377"/>
    </row>
    <row r="328" spans="1:34" ht="14.25" customHeight="1">
      <c r="A328" s="814"/>
      <c r="B328" s="804"/>
      <c r="C328" s="805"/>
      <c r="D328" s="805"/>
      <c r="E328" s="805"/>
      <c r="F328" s="805"/>
      <c r="G328" s="805"/>
      <c r="H328" s="805"/>
      <c r="I328" s="887">
        <v>0</v>
      </c>
      <c r="J328" s="887"/>
      <c r="K328" s="887"/>
      <c r="L328" s="887"/>
      <c r="M328" s="887"/>
      <c r="N328" s="887">
        <v>10</v>
      </c>
      <c r="O328" s="887"/>
      <c r="P328" s="887"/>
      <c r="Q328" s="887"/>
      <c r="R328" s="887"/>
      <c r="S328" s="887">
        <v>20</v>
      </c>
      <c r="T328" s="887"/>
      <c r="U328" s="887"/>
      <c r="V328" s="887"/>
      <c r="W328" s="887"/>
      <c r="X328" s="460"/>
      <c r="AH328" s="377"/>
    </row>
    <row r="329" spans="1:34" ht="13.5">
      <c r="A329" s="812" t="s">
        <v>205</v>
      </c>
      <c r="B329" s="798" t="s">
        <v>206</v>
      </c>
      <c r="C329" s="799"/>
      <c r="D329" s="799"/>
      <c r="E329" s="799"/>
      <c r="F329" s="815" t="s">
        <v>207</v>
      </c>
      <c r="G329" s="816"/>
      <c r="H329" s="816"/>
      <c r="I329" s="816"/>
      <c r="J329" s="816"/>
      <c r="K329" s="816"/>
      <c r="L329" s="816"/>
      <c r="M329" s="816"/>
      <c r="N329" s="816"/>
      <c r="O329" s="816"/>
      <c r="P329" s="816"/>
      <c r="Q329" s="816"/>
      <c r="R329" s="816"/>
      <c r="S329" s="816"/>
      <c r="T329" s="816"/>
      <c r="U329" s="816"/>
      <c r="V329" s="816"/>
      <c r="W329" s="817"/>
      <c r="X329" s="460"/>
      <c r="Y329" s="12"/>
      <c r="AA329" s="12"/>
      <c r="AC329" s="12"/>
      <c r="AE329" s="12"/>
      <c r="AH329" s="377"/>
    </row>
    <row r="330" spans="1:34" ht="14.25" customHeight="1">
      <c r="A330" s="813"/>
      <c r="B330" s="801"/>
      <c r="C330" s="802"/>
      <c r="D330" s="802"/>
      <c r="E330" s="802"/>
      <c r="F330" s="818" t="s">
        <v>212</v>
      </c>
      <c r="G330" s="819"/>
      <c r="H330" s="819"/>
      <c r="I330" s="819"/>
      <c r="J330" s="819"/>
      <c r="K330" s="819"/>
      <c r="L330" s="819"/>
      <c r="M330" s="819"/>
      <c r="N330" s="819"/>
      <c r="O330" s="819"/>
      <c r="P330" s="819"/>
      <c r="Q330" s="819"/>
      <c r="R330" s="819"/>
      <c r="S330" s="819"/>
      <c r="T330" s="819"/>
      <c r="U330" s="819"/>
      <c r="V330" s="819"/>
      <c r="W330" s="820"/>
      <c r="X330" s="460"/>
      <c r="Y330" s="12"/>
      <c r="Z330" s="12"/>
      <c r="AA330" s="12"/>
      <c r="AB330" s="12"/>
      <c r="AC330" s="12"/>
      <c r="AD330" s="12"/>
      <c r="AE330" s="12"/>
      <c r="AH330" s="377"/>
    </row>
    <row r="331" spans="1:34" ht="14.25" customHeight="1">
      <c r="A331" s="814"/>
      <c r="B331" s="801"/>
      <c r="C331" s="802"/>
      <c r="D331" s="802"/>
      <c r="E331" s="802"/>
      <c r="F331" s="821">
        <v>0</v>
      </c>
      <c r="G331" s="823"/>
      <c r="H331" s="822"/>
      <c r="I331" s="891">
        <v>10</v>
      </c>
      <c r="J331" s="892"/>
      <c r="K331" s="893"/>
      <c r="L331" s="891" t="s">
        <v>264</v>
      </c>
      <c r="M331" s="892"/>
      <c r="N331" s="892"/>
      <c r="O331" s="893"/>
      <c r="P331" s="891" t="s">
        <v>522</v>
      </c>
      <c r="Q331" s="892"/>
      <c r="R331" s="892"/>
      <c r="S331" s="893"/>
      <c r="T331" s="891" t="s">
        <v>523</v>
      </c>
      <c r="U331" s="892"/>
      <c r="V331" s="892"/>
      <c r="W331" s="893"/>
      <c r="X331" s="460"/>
      <c r="Y331" s="12"/>
      <c r="Z331" s="12"/>
      <c r="AA331" s="12"/>
      <c r="AB331" s="12"/>
      <c r="AC331" s="12"/>
      <c r="AD331" s="12"/>
      <c r="AE331" s="12"/>
      <c r="AH331" s="377"/>
    </row>
    <row r="332" spans="1:34" ht="12.75" customHeight="1">
      <c r="A332" s="843" t="s">
        <v>231</v>
      </c>
      <c r="B332" s="772" t="s">
        <v>524</v>
      </c>
      <c r="C332" s="773"/>
      <c r="D332" s="773"/>
      <c r="E332" s="774"/>
      <c r="F332" s="781" t="s">
        <v>286</v>
      </c>
      <c r="G332" s="782"/>
      <c r="H332" s="783"/>
      <c r="I332" s="781" t="s">
        <v>420</v>
      </c>
      <c r="J332" s="782"/>
      <c r="K332" s="783"/>
      <c r="L332" s="781" t="s">
        <v>713</v>
      </c>
      <c r="M332" s="782"/>
      <c r="N332" s="782"/>
      <c r="O332" s="783"/>
      <c r="P332" s="781" t="s">
        <v>419</v>
      </c>
      <c r="Q332" s="782"/>
      <c r="R332" s="782"/>
      <c r="S332" s="783"/>
      <c r="T332" s="781" t="s">
        <v>418</v>
      </c>
      <c r="U332" s="782"/>
      <c r="V332" s="782"/>
      <c r="W332" s="783"/>
      <c r="X332" s="460"/>
      <c r="Y332" s="12"/>
      <c r="AA332" s="12"/>
      <c r="AB332" s="12"/>
      <c r="AC332" s="12"/>
      <c r="AH332" s="377"/>
    </row>
    <row r="333" spans="1:34" ht="12.75" customHeight="1">
      <c r="A333" s="844"/>
      <c r="B333" s="775"/>
      <c r="C333" s="776"/>
      <c r="D333" s="776"/>
      <c r="E333" s="777"/>
      <c r="F333" s="784"/>
      <c r="G333" s="785"/>
      <c r="H333" s="786"/>
      <c r="I333" s="784"/>
      <c r="J333" s="785"/>
      <c r="K333" s="786"/>
      <c r="L333" s="784"/>
      <c r="M333" s="785"/>
      <c r="N333" s="785"/>
      <c r="O333" s="786"/>
      <c r="P333" s="784"/>
      <c r="Q333" s="785"/>
      <c r="R333" s="785"/>
      <c r="S333" s="786"/>
      <c r="T333" s="784"/>
      <c r="U333" s="785"/>
      <c r="V333" s="785"/>
      <c r="W333" s="786"/>
      <c r="X333" s="460"/>
      <c r="Y333" s="12"/>
      <c r="AA333" s="12"/>
      <c r="AB333" s="12"/>
      <c r="AC333" s="12"/>
      <c r="AH333" s="377"/>
    </row>
    <row r="334" spans="1:34" ht="23.25" customHeight="1">
      <c r="A334" s="844"/>
      <c r="B334" s="775"/>
      <c r="C334" s="776"/>
      <c r="D334" s="776"/>
      <c r="E334" s="777"/>
      <c r="F334" s="784"/>
      <c r="G334" s="785"/>
      <c r="H334" s="786"/>
      <c r="I334" s="784"/>
      <c r="J334" s="785"/>
      <c r="K334" s="786"/>
      <c r="L334" s="784"/>
      <c r="M334" s="785"/>
      <c r="N334" s="785"/>
      <c r="O334" s="786"/>
      <c r="P334" s="784"/>
      <c r="Q334" s="785"/>
      <c r="R334" s="785"/>
      <c r="S334" s="786"/>
      <c r="T334" s="784"/>
      <c r="U334" s="785"/>
      <c r="V334" s="785"/>
      <c r="W334" s="786"/>
      <c r="X334" s="460"/>
      <c r="Y334" s="12"/>
      <c r="AA334" s="12"/>
      <c r="AB334" s="12"/>
      <c r="AC334" s="12"/>
      <c r="AH334" s="377"/>
    </row>
    <row r="335" spans="1:34" ht="21.75" customHeight="1">
      <c r="A335" s="844"/>
      <c r="B335" s="775"/>
      <c r="C335" s="776"/>
      <c r="D335" s="776"/>
      <c r="E335" s="777"/>
      <c r="F335" s="1066"/>
      <c r="G335" s="1067"/>
      <c r="H335" s="1068"/>
      <c r="I335" s="982"/>
      <c r="J335" s="983"/>
      <c r="K335" s="984"/>
      <c r="L335" s="976" t="s">
        <v>293</v>
      </c>
      <c r="M335" s="977"/>
      <c r="N335" s="977"/>
      <c r="O335" s="977"/>
      <c r="P335" s="976" t="s">
        <v>295</v>
      </c>
      <c r="Q335" s="977"/>
      <c r="R335" s="977"/>
      <c r="S335" s="977"/>
      <c r="T335" s="976" t="s">
        <v>297</v>
      </c>
      <c r="U335" s="977"/>
      <c r="V335" s="977"/>
      <c r="W335" s="978"/>
      <c r="X335" s="460"/>
      <c r="Y335" s="12"/>
      <c r="AH335" s="377"/>
    </row>
    <row r="336" spans="1:34" ht="17.25" customHeight="1">
      <c r="A336" s="844"/>
      <c r="B336" s="775"/>
      <c r="C336" s="776"/>
      <c r="D336" s="776"/>
      <c r="E336" s="777"/>
      <c r="F336" s="1069"/>
      <c r="G336" s="1070"/>
      <c r="H336" s="1071"/>
      <c r="I336" s="982"/>
      <c r="J336" s="983"/>
      <c r="K336" s="984"/>
      <c r="L336" s="973" t="s">
        <v>294</v>
      </c>
      <c r="M336" s="974"/>
      <c r="N336" s="974"/>
      <c r="O336" s="974"/>
      <c r="P336" s="973" t="s">
        <v>296</v>
      </c>
      <c r="Q336" s="974"/>
      <c r="R336" s="974"/>
      <c r="S336" s="974"/>
      <c r="T336" s="973" t="s">
        <v>282</v>
      </c>
      <c r="U336" s="974"/>
      <c r="V336" s="974"/>
      <c r="W336" s="975"/>
      <c r="X336" s="460"/>
      <c r="Y336" s="12"/>
      <c r="AH336" s="377"/>
    </row>
    <row r="337" spans="1:34" ht="12.75" customHeight="1">
      <c r="A337" s="844"/>
      <c r="B337" s="775"/>
      <c r="C337" s="776"/>
      <c r="D337" s="776"/>
      <c r="E337" s="777"/>
      <c r="F337" s="853">
        <f>IF(Y338=0,IF(FIO="","",0),"")</f>
      </c>
      <c r="G337" s="902"/>
      <c r="H337" s="903"/>
      <c r="I337" s="942"/>
      <c r="J337" s="943"/>
      <c r="K337" s="944"/>
      <c r="L337" s="791"/>
      <c r="M337" s="791"/>
      <c r="N337" s="791"/>
      <c r="O337" s="791"/>
      <c r="P337" s="791"/>
      <c r="Q337" s="791"/>
      <c r="R337" s="791"/>
      <c r="S337" s="791"/>
      <c r="T337" s="791"/>
      <c r="U337" s="791"/>
      <c r="V337" s="791"/>
      <c r="W337" s="791"/>
      <c r="X337" s="460"/>
      <c r="Z337" s="251" t="s">
        <v>210</v>
      </c>
      <c r="AA337" s="252" t="s">
        <v>278</v>
      </c>
      <c r="AE337" s="292" t="s">
        <v>3</v>
      </c>
      <c r="AF337" s="293" t="s">
        <v>2</v>
      </c>
      <c r="AH337" s="377"/>
    </row>
    <row r="338" spans="1:34" ht="12.75" customHeight="1">
      <c r="A338" s="845"/>
      <c r="B338" s="807" t="s">
        <v>314</v>
      </c>
      <c r="C338" s="808"/>
      <c r="D338" s="808"/>
      <c r="E338" s="809"/>
      <c r="F338" s="907"/>
      <c r="G338" s="908"/>
      <c r="H338" s="909"/>
      <c r="I338" s="945"/>
      <c r="J338" s="946"/>
      <c r="K338" s="947"/>
      <c r="L338" s="791"/>
      <c r="M338" s="791"/>
      <c r="N338" s="791"/>
      <c r="O338" s="791"/>
      <c r="P338" s="791"/>
      <c r="Q338" s="791"/>
      <c r="R338" s="791"/>
      <c r="S338" s="791"/>
      <c r="T338" s="791"/>
      <c r="U338" s="791"/>
      <c r="V338" s="791"/>
      <c r="W338" s="791"/>
      <c r="X338" s="460"/>
      <c r="Y338" s="267">
        <f>SUM(I337:W338)</f>
        <v>0</v>
      </c>
      <c r="Z338" s="253">
        <v>100</v>
      </c>
      <c r="AA338" s="270">
        <f>IF(z_kateg="высшая",AE338,AF338)</f>
        <v>10</v>
      </c>
      <c r="AE338" s="288">
        <v>20</v>
      </c>
      <c r="AF338" s="289">
        <v>10</v>
      </c>
      <c r="AH338" s="377"/>
    </row>
    <row r="339" spans="1:34" ht="12.75" customHeight="1">
      <c r="A339" s="843" t="s">
        <v>233</v>
      </c>
      <c r="B339" s="772" t="s">
        <v>476</v>
      </c>
      <c r="C339" s="773"/>
      <c r="D339" s="773"/>
      <c r="E339" s="774"/>
      <c r="F339" s="781" t="s">
        <v>286</v>
      </c>
      <c r="G339" s="782"/>
      <c r="H339" s="783"/>
      <c r="I339" s="781" t="s">
        <v>420</v>
      </c>
      <c r="J339" s="782"/>
      <c r="K339" s="783"/>
      <c r="L339" s="781" t="s">
        <v>713</v>
      </c>
      <c r="M339" s="782"/>
      <c r="N339" s="782"/>
      <c r="O339" s="783"/>
      <c r="P339" s="781" t="s">
        <v>419</v>
      </c>
      <c r="Q339" s="782"/>
      <c r="R339" s="782"/>
      <c r="S339" s="783"/>
      <c r="T339" s="781" t="s">
        <v>418</v>
      </c>
      <c r="U339" s="782"/>
      <c r="V339" s="782"/>
      <c r="W339" s="783"/>
      <c r="X339" s="460"/>
      <c r="Y339" s="12"/>
      <c r="AA339" s="12"/>
      <c r="AB339" s="12"/>
      <c r="AC339" s="12"/>
      <c r="AH339" s="377"/>
    </row>
    <row r="340" spans="1:34" ht="12.75" customHeight="1">
      <c r="A340" s="844"/>
      <c r="B340" s="775"/>
      <c r="C340" s="776"/>
      <c r="D340" s="776"/>
      <c r="E340" s="777"/>
      <c r="F340" s="784"/>
      <c r="G340" s="785"/>
      <c r="H340" s="786"/>
      <c r="I340" s="784"/>
      <c r="J340" s="785"/>
      <c r="K340" s="786"/>
      <c r="L340" s="784"/>
      <c r="M340" s="785"/>
      <c r="N340" s="785"/>
      <c r="O340" s="786"/>
      <c r="P340" s="784"/>
      <c r="Q340" s="785"/>
      <c r="R340" s="785"/>
      <c r="S340" s="786"/>
      <c r="T340" s="784"/>
      <c r="U340" s="785"/>
      <c r="V340" s="785"/>
      <c r="W340" s="786"/>
      <c r="X340" s="460"/>
      <c r="Y340" s="12"/>
      <c r="AA340" s="12"/>
      <c r="AB340" s="12"/>
      <c r="AC340" s="12"/>
      <c r="AH340" s="377"/>
    </row>
    <row r="341" spans="1:34" ht="15" customHeight="1">
      <c r="A341" s="844"/>
      <c r="B341" s="775"/>
      <c r="C341" s="776"/>
      <c r="D341" s="776"/>
      <c r="E341" s="777"/>
      <c r="F341" s="784"/>
      <c r="G341" s="785"/>
      <c r="H341" s="786"/>
      <c r="I341" s="784"/>
      <c r="J341" s="785"/>
      <c r="K341" s="786"/>
      <c r="L341" s="784"/>
      <c r="M341" s="785"/>
      <c r="N341" s="785"/>
      <c r="O341" s="786"/>
      <c r="P341" s="784"/>
      <c r="Q341" s="785"/>
      <c r="R341" s="785"/>
      <c r="S341" s="786"/>
      <c r="T341" s="784"/>
      <c r="U341" s="785"/>
      <c r="V341" s="785"/>
      <c r="W341" s="786"/>
      <c r="X341" s="460"/>
      <c r="Y341" s="12"/>
      <c r="AA341" s="12"/>
      <c r="AB341" s="12"/>
      <c r="AC341" s="12"/>
      <c r="AH341" s="377"/>
    </row>
    <row r="342" spans="1:34" ht="13.5" customHeight="1">
      <c r="A342" s="844"/>
      <c r="B342" s="775"/>
      <c r="C342" s="776"/>
      <c r="D342" s="776"/>
      <c r="E342" s="777"/>
      <c r="F342" s="1066"/>
      <c r="G342" s="1067"/>
      <c r="H342" s="1068"/>
      <c r="I342" s="982"/>
      <c r="J342" s="983"/>
      <c r="K342" s="984"/>
      <c r="L342" s="976" t="s">
        <v>298</v>
      </c>
      <c r="M342" s="977"/>
      <c r="N342" s="977"/>
      <c r="O342" s="978"/>
      <c r="P342" s="976" t="s">
        <v>299</v>
      </c>
      <c r="Q342" s="977"/>
      <c r="R342" s="977"/>
      <c r="S342" s="978"/>
      <c r="T342" s="976" t="s">
        <v>300</v>
      </c>
      <c r="U342" s="977"/>
      <c r="V342" s="977"/>
      <c r="W342" s="978"/>
      <c r="X342" s="460"/>
      <c r="Y342" s="12"/>
      <c r="AH342" s="377"/>
    </row>
    <row r="343" spans="1:34" ht="15" customHeight="1">
      <c r="A343" s="844"/>
      <c r="B343" s="775"/>
      <c r="C343" s="776"/>
      <c r="D343" s="776"/>
      <c r="E343" s="777"/>
      <c r="F343" s="1069"/>
      <c r="G343" s="1070"/>
      <c r="H343" s="1071"/>
      <c r="I343" s="982"/>
      <c r="J343" s="983"/>
      <c r="K343" s="984"/>
      <c r="L343" s="973" t="s">
        <v>294</v>
      </c>
      <c r="M343" s="974"/>
      <c r="N343" s="974"/>
      <c r="O343" s="975"/>
      <c r="P343" s="973" t="s">
        <v>296</v>
      </c>
      <c r="Q343" s="974"/>
      <c r="R343" s="974"/>
      <c r="S343" s="975"/>
      <c r="T343" s="973" t="s">
        <v>282</v>
      </c>
      <c r="U343" s="974"/>
      <c r="V343" s="974"/>
      <c r="W343" s="975"/>
      <c r="X343" s="460"/>
      <c r="Y343" s="12"/>
      <c r="AH343" s="377"/>
    </row>
    <row r="344" spans="1:34" ht="12.75" customHeight="1">
      <c r="A344" s="844"/>
      <c r="B344" s="775"/>
      <c r="C344" s="776"/>
      <c r="D344" s="776"/>
      <c r="E344" s="777"/>
      <c r="F344" s="853">
        <f>IF(Y345=0,IF(FIO="","",0),"")</f>
      </c>
      <c r="G344" s="902"/>
      <c r="H344" s="903"/>
      <c r="I344" s="942"/>
      <c r="J344" s="943"/>
      <c r="K344" s="944"/>
      <c r="L344" s="942"/>
      <c r="M344" s="943"/>
      <c r="N344" s="943"/>
      <c r="O344" s="944"/>
      <c r="P344" s="942"/>
      <c r="Q344" s="943"/>
      <c r="R344" s="943"/>
      <c r="S344" s="944"/>
      <c r="T344" s="942"/>
      <c r="U344" s="943"/>
      <c r="V344" s="943"/>
      <c r="W344" s="944"/>
      <c r="X344" s="460"/>
      <c r="Z344" s="251" t="s">
        <v>210</v>
      </c>
      <c r="AA344" s="252" t="s">
        <v>278</v>
      </c>
      <c r="AE344" s="292" t="s">
        <v>3</v>
      </c>
      <c r="AF344" s="293" t="s">
        <v>2</v>
      </c>
      <c r="AH344" s="377"/>
    </row>
    <row r="345" spans="1:34" ht="12.75" customHeight="1">
      <c r="A345" s="845"/>
      <c r="B345" s="979" t="str">
        <f>B338</f>
        <v>(далее – Прил. № 4)</v>
      </c>
      <c r="C345" s="980"/>
      <c r="D345" s="980"/>
      <c r="E345" s="981"/>
      <c r="F345" s="907"/>
      <c r="G345" s="908"/>
      <c r="H345" s="909"/>
      <c r="I345" s="945"/>
      <c r="J345" s="946"/>
      <c r="K345" s="947"/>
      <c r="L345" s="945"/>
      <c r="M345" s="946"/>
      <c r="N345" s="946"/>
      <c r="O345" s="947"/>
      <c r="P345" s="945"/>
      <c r="Q345" s="946"/>
      <c r="R345" s="946"/>
      <c r="S345" s="947"/>
      <c r="T345" s="945"/>
      <c r="U345" s="946"/>
      <c r="V345" s="946"/>
      <c r="W345" s="947"/>
      <c r="X345" s="460"/>
      <c r="Y345" s="267">
        <f>SUM(I344:W345)</f>
        <v>0</v>
      </c>
      <c r="Z345" s="253">
        <v>100</v>
      </c>
      <c r="AA345" s="270">
        <f>IF(z_kateg="высшая",AE345,AF345)</f>
        <v>0</v>
      </c>
      <c r="AE345" s="288">
        <v>10</v>
      </c>
      <c r="AF345" s="289">
        <v>0</v>
      </c>
      <c r="AH345" s="377"/>
    </row>
    <row r="346" spans="1:34" ht="13.5">
      <c r="A346" s="812" t="s">
        <v>205</v>
      </c>
      <c r="B346" s="798" t="s">
        <v>206</v>
      </c>
      <c r="C346" s="799"/>
      <c r="D346" s="799"/>
      <c r="E346" s="799"/>
      <c r="F346" s="815" t="s">
        <v>207</v>
      </c>
      <c r="G346" s="816"/>
      <c r="H346" s="816"/>
      <c r="I346" s="816"/>
      <c r="J346" s="816"/>
      <c r="K346" s="816"/>
      <c r="L346" s="816"/>
      <c r="M346" s="816"/>
      <c r="N346" s="816"/>
      <c r="O346" s="816"/>
      <c r="P346" s="816"/>
      <c r="Q346" s="816"/>
      <c r="R346" s="816"/>
      <c r="S346" s="816"/>
      <c r="T346" s="816"/>
      <c r="U346" s="816"/>
      <c r="V346" s="816"/>
      <c r="W346" s="817"/>
      <c r="X346" s="460"/>
      <c r="Y346" s="12"/>
      <c r="AH346" s="377"/>
    </row>
    <row r="347" spans="1:34" ht="12.75" customHeight="1">
      <c r="A347" s="813"/>
      <c r="B347" s="801"/>
      <c r="C347" s="802"/>
      <c r="D347" s="802"/>
      <c r="E347" s="802"/>
      <c r="F347" s="818" t="s">
        <v>212</v>
      </c>
      <c r="G347" s="819"/>
      <c r="H347" s="819"/>
      <c r="I347" s="819"/>
      <c r="J347" s="819"/>
      <c r="K347" s="819"/>
      <c r="L347" s="819"/>
      <c r="M347" s="819"/>
      <c r="N347" s="819"/>
      <c r="O347" s="819"/>
      <c r="P347" s="819"/>
      <c r="Q347" s="819"/>
      <c r="R347" s="819"/>
      <c r="S347" s="819"/>
      <c r="T347" s="819"/>
      <c r="U347" s="819"/>
      <c r="V347" s="819"/>
      <c r="W347" s="820"/>
      <c r="X347" s="460"/>
      <c r="AH347" s="377"/>
    </row>
    <row r="348" spans="1:34" ht="12.75" customHeight="1">
      <c r="A348" s="814"/>
      <c r="B348" s="804"/>
      <c r="C348" s="805"/>
      <c r="D348" s="805"/>
      <c r="E348" s="805"/>
      <c r="F348" s="887">
        <v>0</v>
      </c>
      <c r="G348" s="887"/>
      <c r="H348" s="887"/>
      <c r="I348" s="887">
        <v>10</v>
      </c>
      <c r="J348" s="887"/>
      <c r="K348" s="887"/>
      <c r="L348" s="887"/>
      <c r="M348" s="887"/>
      <c r="N348" s="887"/>
      <c r="O348" s="887"/>
      <c r="P348" s="821" t="s">
        <v>264</v>
      </c>
      <c r="Q348" s="823"/>
      <c r="R348" s="823"/>
      <c r="S348" s="823"/>
      <c r="T348" s="823"/>
      <c r="U348" s="823"/>
      <c r="V348" s="823"/>
      <c r="W348" s="822"/>
      <c r="X348" s="460"/>
      <c r="AH348" s="377"/>
    </row>
    <row r="349" spans="1:34" ht="15" customHeight="1">
      <c r="A349" s="843" t="s">
        <v>234</v>
      </c>
      <c r="B349" s="772" t="s">
        <v>525</v>
      </c>
      <c r="C349" s="773"/>
      <c r="D349" s="773"/>
      <c r="E349" s="774"/>
      <c r="F349" s="965" t="s">
        <v>301</v>
      </c>
      <c r="G349" s="965"/>
      <c r="H349" s="965"/>
      <c r="I349" s="965" t="s">
        <v>427</v>
      </c>
      <c r="J349" s="965"/>
      <c r="K349" s="965"/>
      <c r="L349" s="965"/>
      <c r="M349" s="965"/>
      <c r="N349" s="965"/>
      <c r="O349" s="965"/>
      <c r="P349" s="781" t="s">
        <v>448</v>
      </c>
      <c r="Q349" s="782"/>
      <c r="R349" s="782"/>
      <c r="S349" s="782"/>
      <c r="T349" s="782"/>
      <c r="U349" s="782"/>
      <c r="V349" s="782"/>
      <c r="W349" s="783"/>
      <c r="X349" s="460"/>
      <c r="Y349" s="12"/>
      <c r="AH349" s="377"/>
    </row>
    <row r="350" spans="1:34" ht="15" customHeight="1">
      <c r="A350" s="844"/>
      <c r="B350" s="775"/>
      <c r="C350" s="776"/>
      <c r="D350" s="776"/>
      <c r="E350" s="777"/>
      <c r="F350" s="965"/>
      <c r="G350" s="965"/>
      <c r="H350" s="965"/>
      <c r="I350" s="965"/>
      <c r="J350" s="965"/>
      <c r="K350" s="965"/>
      <c r="L350" s="965"/>
      <c r="M350" s="965"/>
      <c r="N350" s="965"/>
      <c r="O350" s="965"/>
      <c r="P350" s="784"/>
      <c r="Q350" s="785"/>
      <c r="R350" s="785"/>
      <c r="S350" s="785"/>
      <c r="T350" s="785"/>
      <c r="U350" s="785"/>
      <c r="V350" s="785"/>
      <c r="W350" s="786"/>
      <c r="X350" s="460"/>
      <c r="Y350" s="12"/>
      <c r="AH350" s="377"/>
    </row>
    <row r="351" spans="1:34" ht="15" customHeight="1">
      <c r="A351" s="844"/>
      <c r="B351" s="775"/>
      <c r="C351" s="776"/>
      <c r="D351" s="776"/>
      <c r="E351" s="777"/>
      <c r="F351" s="965"/>
      <c r="G351" s="965"/>
      <c r="H351" s="965"/>
      <c r="I351" s="965"/>
      <c r="J351" s="965"/>
      <c r="K351" s="965"/>
      <c r="L351" s="965"/>
      <c r="M351" s="965"/>
      <c r="N351" s="965"/>
      <c r="O351" s="965"/>
      <c r="P351" s="784"/>
      <c r="Q351" s="785"/>
      <c r="R351" s="785"/>
      <c r="S351" s="785"/>
      <c r="T351" s="785"/>
      <c r="U351" s="785"/>
      <c r="V351" s="785"/>
      <c r="W351" s="786"/>
      <c r="X351" s="460"/>
      <c r="Y351" s="12"/>
      <c r="AH351" s="377"/>
    </row>
    <row r="352" spans="1:34" ht="15" customHeight="1">
      <c r="A352" s="844"/>
      <c r="B352" s="775"/>
      <c r="C352" s="776"/>
      <c r="D352" s="776"/>
      <c r="E352" s="777"/>
      <c r="F352" s="965"/>
      <c r="G352" s="965"/>
      <c r="H352" s="965"/>
      <c r="I352" s="965"/>
      <c r="J352" s="965"/>
      <c r="K352" s="965"/>
      <c r="L352" s="965"/>
      <c r="M352" s="965"/>
      <c r="N352" s="965"/>
      <c r="O352" s="965"/>
      <c r="P352" s="784"/>
      <c r="Q352" s="785"/>
      <c r="R352" s="785"/>
      <c r="S352" s="785"/>
      <c r="T352" s="785"/>
      <c r="U352" s="785"/>
      <c r="V352" s="785"/>
      <c r="W352" s="786"/>
      <c r="X352" s="460"/>
      <c r="Y352" s="12"/>
      <c r="AH352" s="377"/>
    </row>
    <row r="353" spans="1:34" ht="1.5" customHeight="1">
      <c r="A353" s="844"/>
      <c r="B353" s="775"/>
      <c r="C353" s="776"/>
      <c r="D353" s="776"/>
      <c r="E353" s="777"/>
      <c r="F353" s="965"/>
      <c r="G353" s="965"/>
      <c r="H353" s="965"/>
      <c r="I353" s="965"/>
      <c r="J353" s="965"/>
      <c r="K353" s="965"/>
      <c r="L353" s="965"/>
      <c r="M353" s="965"/>
      <c r="N353" s="965"/>
      <c r="O353" s="965"/>
      <c r="P353" s="787"/>
      <c r="Q353" s="788"/>
      <c r="R353" s="788"/>
      <c r="S353" s="788"/>
      <c r="T353" s="788"/>
      <c r="U353" s="788"/>
      <c r="V353" s="788"/>
      <c r="W353" s="789"/>
      <c r="X353" s="460"/>
      <c r="Y353" s="12"/>
      <c r="AH353" s="377"/>
    </row>
    <row r="354" spans="1:34" ht="12.75" customHeight="1">
      <c r="A354" s="844"/>
      <c r="B354" s="1032" t="str">
        <f>B338</f>
        <v>(далее – Прил. № 4)</v>
      </c>
      <c r="C354" s="1033"/>
      <c r="D354" s="1033"/>
      <c r="E354" s="1034"/>
      <c r="F354" s="853">
        <f>IF(Y355=0,IF(FIO="","",0),"")</f>
      </c>
      <c r="G354" s="902"/>
      <c r="H354" s="903"/>
      <c r="I354" s="791"/>
      <c r="J354" s="791"/>
      <c r="K354" s="791"/>
      <c r="L354" s="791"/>
      <c r="M354" s="791"/>
      <c r="N354" s="791"/>
      <c r="O354" s="791"/>
      <c r="P354" s="942"/>
      <c r="Q354" s="943"/>
      <c r="R354" s="943"/>
      <c r="S354" s="943"/>
      <c r="T354" s="943"/>
      <c r="U354" s="943"/>
      <c r="V354" s="943"/>
      <c r="W354" s="944"/>
      <c r="X354" s="460"/>
      <c r="Z354" s="251" t="s">
        <v>210</v>
      </c>
      <c r="AA354" s="252" t="s">
        <v>278</v>
      </c>
      <c r="AE354" s="292" t="s">
        <v>3</v>
      </c>
      <c r="AF354" s="293" t="s">
        <v>2</v>
      </c>
      <c r="AH354" s="377"/>
    </row>
    <row r="355" spans="1:34" ht="12.75" customHeight="1">
      <c r="A355" s="845"/>
      <c r="B355" s="979"/>
      <c r="C355" s="980"/>
      <c r="D355" s="980"/>
      <c r="E355" s="981"/>
      <c r="F355" s="907"/>
      <c r="G355" s="908"/>
      <c r="H355" s="909"/>
      <c r="I355" s="791"/>
      <c r="J355" s="791"/>
      <c r="K355" s="791"/>
      <c r="L355" s="791"/>
      <c r="M355" s="791"/>
      <c r="N355" s="791"/>
      <c r="O355" s="791"/>
      <c r="P355" s="945"/>
      <c r="Q355" s="946"/>
      <c r="R355" s="946"/>
      <c r="S355" s="946"/>
      <c r="T355" s="946"/>
      <c r="U355" s="946"/>
      <c r="V355" s="946"/>
      <c r="W355" s="947"/>
      <c r="X355" s="460"/>
      <c r="Y355" s="267">
        <f>SUM(I354:W355)</f>
        <v>0</v>
      </c>
      <c r="Z355" s="253">
        <v>30</v>
      </c>
      <c r="AA355" s="270">
        <f>IF(z_kateg="высшая",AE355,AF355)</f>
        <v>20</v>
      </c>
      <c r="AE355" s="288">
        <v>20</v>
      </c>
      <c r="AF355" s="289">
        <v>20</v>
      </c>
      <c r="AH355" s="377"/>
    </row>
    <row r="356" spans="1:34" ht="13.5">
      <c r="A356" s="812" t="s">
        <v>205</v>
      </c>
      <c r="B356" s="798" t="s">
        <v>206</v>
      </c>
      <c r="C356" s="799"/>
      <c r="D356" s="799"/>
      <c r="E356" s="800"/>
      <c r="F356" s="815" t="s">
        <v>218</v>
      </c>
      <c r="G356" s="816"/>
      <c r="H356" s="816"/>
      <c r="I356" s="816"/>
      <c r="J356" s="816"/>
      <c r="K356" s="816"/>
      <c r="L356" s="816"/>
      <c r="M356" s="816"/>
      <c r="N356" s="816"/>
      <c r="O356" s="816"/>
      <c r="P356" s="816"/>
      <c r="Q356" s="816"/>
      <c r="R356" s="816"/>
      <c r="S356" s="816"/>
      <c r="T356" s="816"/>
      <c r="U356" s="816"/>
      <c r="V356" s="816"/>
      <c r="W356" s="817"/>
      <c r="X356" s="460"/>
      <c r="Z356" s="207"/>
      <c r="AA356" s="207"/>
      <c r="AH356" s="377"/>
    </row>
    <row r="357" spans="1:34" ht="14.25" customHeight="1">
      <c r="A357" s="813"/>
      <c r="B357" s="801"/>
      <c r="C357" s="802"/>
      <c r="D357" s="802"/>
      <c r="E357" s="803"/>
      <c r="F357" s="818" t="s">
        <v>212</v>
      </c>
      <c r="G357" s="819"/>
      <c r="H357" s="819"/>
      <c r="I357" s="819"/>
      <c r="J357" s="819"/>
      <c r="K357" s="819"/>
      <c r="L357" s="819"/>
      <c r="M357" s="819"/>
      <c r="N357" s="819"/>
      <c r="O357" s="819"/>
      <c r="P357" s="819"/>
      <c r="Q357" s="819"/>
      <c r="R357" s="819"/>
      <c r="S357" s="819"/>
      <c r="T357" s="819"/>
      <c r="U357" s="819"/>
      <c r="V357" s="819"/>
      <c r="W357" s="820"/>
      <c r="X357" s="460"/>
      <c r="AH357" s="377"/>
    </row>
    <row r="358" spans="1:34" ht="14.25" customHeight="1">
      <c r="A358" s="814"/>
      <c r="B358" s="804"/>
      <c r="C358" s="805"/>
      <c r="D358" s="805"/>
      <c r="E358" s="806"/>
      <c r="F358" s="887">
        <v>0</v>
      </c>
      <c r="G358" s="887"/>
      <c r="H358" s="887"/>
      <c r="I358" s="821">
        <v>10</v>
      </c>
      <c r="J358" s="823"/>
      <c r="K358" s="822"/>
      <c r="L358" s="821">
        <v>10</v>
      </c>
      <c r="M358" s="823"/>
      <c r="N358" s="823"/>
      <c r="O358" s="822"/>
      <c r="P358" s="821">
        <v>20</v>
      </c>
      <c r="Q358" s="823"/>
      <c r="R358" s="823"/>
      <c r="S358" s="822"/>
      <c r="T358" s="821">
        <v>20</v>
      </c>
      <c r="U358" s="823"/>
      <c r="V358" s="823"/>
      <c r="W358" s="822"/>
      <c r="X358" s="460"/>
      <c r="AH358" s="377"/>
    </row>
    <row r="359" spans="1:34" ht="15" customHeight="1">
      <c r="A359" s="843" t="s">
        <v>235</v>
      </c>
      <c r="B359" s="772" t="s">
        <v>526</v>
      </c>
      <c r="C359" s="773"/>
      <c r="D359" s="773"/>
      <c r="E359" s="774"/>
      <c r="F359" s="965" t="s">
        <v>286</v>
      </c>
      <c r="G359" s="965"/>
      <c r="H359" s="965"/>
      <c r="I359" s="781" t="s">
        <v>429</v>
      </c>
      <c r="J359" s="782"/>
      <c r="K359" s="783"/>
      <c r="L359" s="781" t="s">
        <v>713</v>
      </c>
      <c r="M359" s="782"/>
      <c r="N359" s="782"/>
      <c r="O359" s="783"/>
      <c r="P359" s="781" t="s">
        <v>419</v>
      </c>
      <c r="Q359" s="782"/>
      <c r="R359" s="782"/>
      <c r="S359" s="783"/>
      <c r="T359" s="781" t="s">
        <v>418</v>
      </c>
      <c r="U359" s="782"/>
      <c r="V359" s="782"/>
      <c r="W359" s="783"/>
      <c r="X359" s="460"/>
      <c r="AH359" s="377"/>
    </row>
    <row r="360" spans="1:34" ht="15" customHeight="1">
      <c r="A360" s="844"/>
      <c r="B360" s="775"/>
      <c r="C360" s="776"/>
      <c r="D360" s="776"/>
      <c r="E360" s="777"/>
      <c r="F360" s="965"/>
      <c r="G360" s="965"/>
      <c r="H360" s="965"/>
      <c r="I360" s="784"/>
      <c r="J360" s="785"/>
      <c r="K360" s="786"/>
      <c r="L360" s="784"/>
      <c r="M360" s="785"/>
      <c r="N360" s="785"/>
      <c r="O360" s="786"/>
      <c r="P360" s="784"/>
      <c r="Q360" s="785"/>
      <c r="R360" s="785"/>
      <c r="S360" s="786"/>
      <c r="T360" s="784"/>
      <c r="U360" s="785"/>
      <c r="V360" s="785"/>
      <c r="W360" s="786"/>
      <c r="X360" s="460"/>
      <c r="AB360" s="274"/>
      <c r="AC360" s="274"/>
      <c r="AD360" s="274"/>
      <c r="AH360" s="377"/>
    </row>
    <row r="361" spans="1:34" ht="15" customHeight="1">
      <c r="A361" s="844"/>
      <c r="B361" s="775"/>
      <c r="C361" s="776"/>
      <c r="D361" s="776"/>
      <c r="E361" s="777"/>
      <c r="F361" s="965"/>
      <c r="G361" s="965"/>
      <c r="H361" s="965"/>
      <c r="I361" s="787"/>
      <c r="J361" s="788"/>
      <c r="K361" s="789"/>
      <c r="L361" s="784"/>
      <c r="M361" s="785"/>
      <c r="N361" s="785"/>
      <c r="O361" s="786"/>
      <c r="P361" s="784"/>
      <c r="Q361" s="785"/>
      <c r="R361" s="785"/>
      <c r="S361" s="786"/>
      <c r="T361" s="784"/>
      <c r="U361" s="785"/>
      <c r="V361" s="785"/>
      <c r="W361" s="786"/>
      <c r="X361" s="460"/>
      <c r="Z361" s="275"/>
      <c r="AH361" s="377"/>
    </row>
    <row r="362" spans="1:34" ht="14.25" customHeight="1">
      <c r="A362" s="844"/>
      <c r="B362" s="775"/>
      <c r="C362" s="776"/>
      <c r="D362" s="776"/>
      <c r="E362" s="777"/>
      <c r="F362" s="853">
        <f>IF(Y363=0,IF(FIO="","",0),"")</f>
      </c>
      <c r="G362" s="902"/>
      <c r="H362" s="903"/>
      <c r="I362" s="942"/>
      <c r="J362" s="943"/>
      <c r="K362" s="944"/>
      <c r="L362" s="791"/>
      <c r="M362" s="791"/>
      <c r="N362" s="791"/>
      <c r="O362" s="791"/>
      <c r="P362" s="791"/>
      <c r="Q362" s="791"/>
      <c r="R362" s="791"/>
      <c r="S362" s="791"/>
      <c r="T362" s="791"/>
      <c r="U362" s="791"/>
      <c r="V362" s="791"/>
      <c r="W362" s="791"/>
      <c r="X362" s="460"/>
      <c r="Z362" s="251" t="s">
        <v>210</v>
      </c>
      <c r="AA362" s="252" t="s">
        <v>278</v>
      </c>
      <c r="AE362" s="292" t="s">
        <v>3</v>
      </c>
      <c r="AF362" s="293" t="s">
        <v>2</v>
      </c>
      <c r="AH362" s="377"/>
    </row>
    <row r="363" spans="1:34" ht="12.75" customHeight="1">
      <c r="A363" s="845"/>
      <c r="B363" s="979" t="str">
        <f>B338</f>
        <v>(далее – Прил. № 4)</v>
      </c>
      <c r="C363" s="980"/>
      <c r="D363" s="980"/>
      <c r="E363" s="981"/>
      <c r="F363" s="907"/>
      <c r="G363" s="908"/>
      <c r="H363" s="909"/>
      <c r="I363" s="945"/>
      <c r="J363" s="946"/>
      <c r="K363" s="947"/>
      <c r="L363" s="791"/>
      <c r="M363" s="791"/>
      <c r="N363" s="791"/>
      <c r="O363" s="791"/>
      <c r="P363" s="791"/>
      <c r="Q363" s="791"/>
      <c r="R363" s="791"/>
      <c r="S363" s="791"/>
      <c r="T363" s="791"/>
      <c r="U363" s="791"/>
      <c r="V363" s="791"/>
      <c r="W363" s="791"/>
      <c r="X363" s="460"/>
      <c r="Y363" s="267">
        <f>SUM(I362:W363)</f>
        <v>0</v>
      </c>
      <c r="Z363" s="253">
        <v>60</v>
      </c>
      <c r="AA363" s="270">
        <f>IF(z_kateg="высшая",AE363,AF363)</f>
        <v>0</v>
      </c>
      <c r="AE363" s="288">
        <v>0</v>
      </c>
      <c r="AF363" s="289">
        <v>0</v>
      </c>
      <c r="AH363" s="377"/>
    </row>
    <row r="364" spans="1:34" ht="13.5">
      <c r="A364" s="812" t="s">
        <v>205</v>
      </c>
      <c r="B364" s="798" t="s">
        <v>206</v>
      </c>
      <c r="C364" s="799"/>
      <c r="D364" s="799"/>
      <c r="E364" s="799"/>
      <c r="F364" s="799"/>
      <c r="G364" s="799"/>
      <c r="H364" s="800"/>
      <c r="I364" s="815" t="s">
        <v>207</v>
      </c>
      <c r="J364" s="816"/>
      <c r="K364" s="816"/>
      <c r="L364" s="816"/>
      <c r="M364" s="816"/>
      <c r="N364" s="816"/>
      <c r="O364" s="816"/>
      <c r="P364" s="816"/>
      <c r="Q364" s="816"/>
      <c r="R364" s="816"/>
      <c r="S364" s="816"/>
      <c r="T364" s="816"/>
      <c r="U364" s="816"/>
      <c r="V364" s="816"/>
      <c r="W364" s="817"/>
      <c r="X364" s="460"/>
      <c r="Y364" s="12"/>
      <c r="AA364" s="12"/>
      <c r="AC364" s="12"/>
      <c r="AE364" s="12"/>
      <c r="AH364" s="377"/>
    </row>
    <row r="365" spans="1:34" ht="14.25" customHeight="1">
      <c r="A365" s="813"/>
      <c r="B365" s="801"/>
      <c r="C365" s="802"/>
      <c r="D365" s="802"/>
      <c r="E365" s="802"/>
      <c r="F365" s="802"/>
      <c r="G365" s="802"/>
      <c r="H365" s="803"/>
      <c r="I365" s="818" t="s">
        <v>212</v>
      </c>
      <c r="J365" s="819"/>
      <c r="K365" s="819"/>
      <c r="L365" s="819"/>
      <c r="M365" s="819"/>
      <c r="N365" s="819"/>
      <c r="O365" s="819"/>
      <c r="P365" s="819"/>
      <c r="Q365" s="819"/>
      <c r="R365" s="819"/>
      <c r="S365" s="819"/>
      <c r="T365" s="819"/>
      <c r="U365" s="819"/>
      <c r="V365" s="819"/>
      <c r="W365" s="820"/>
      <c r="X365" s="460"/>
      <c r="Y365" s="12"/>
      <c r="Z365" s="12"/>
      <c r="AA365" s="12"/>
      <c r="AB365" s="12"/>
      <c r="AC365" s="12"/>
      <c r="AD365" s="12"/>
      <c r="AE365" s="12"/>
      <c r="AH365" s="377"/>
    </row>
    <row r="366" spans="1:34" ht="14.25" customHeight="1">
      <c r="A366" s="814"/>
      <c r="B366" s="801"/>
      <c r="C366" s="802"/>
      <c r="D366" s="802"/>
      <c r="E366" s="802"/>
      <c r="F366" s="802"/>
      <c r="G366" s="802"/>
      <c r="H366" s="803"/>
      <c r="I366" s="821">
        <v>0</v>
      </c>
      <c r="J366" s="823"/>
      <c r="K366" s="822"/>
      <c r="L366" s="821" t="s">
        <v>264</v>
      </c>
      <c r="M366" s="823"/>
      <c r="N366" s="823"/>
      <c r="O366" s="822"/>
      <c r="P366" s="821" t="s">
        <v>267</v>
      </c>
      <c r="Q366" s="823"/>
      <c r="R366" s="823"/>
      <c r="S366" s="822"/>
      <c r="T366" s="821" t="s">
        <v>268</v>
      </c>
      <c r="U366" s="823"/>
      <c r="V366" s="823"/>
      <c r="W366" s="822"/>
      <c r="X366" s="460"/>
      <c r="Y366" s="12"/>
      <c r="Z366" s="12"/>
      <c r="AA366" s="12"/>
      <c r="AB366" s="12"/>
      <c r="AC366" s="12"/>
      <c r="AD366" s="12"/>
      <c r="AE366" s="12"/>
      <c r="AH366" s="377"/>
    </row>
    <row r="367" spans="1:34" ht="12.75" customHeight="1">
      <c r="A367" s="843" t="s">
        <v>236</v>
      </c>
      <c r="B367" s="772" t="s">
        <v>712</v>
      </c>
      <c r="C367" s="773"/>
      <c r="D367" s="773"/>
      <c r="E367" s="773"/>
      <c r="F367" s="773"/>
      <c r="G367" s="773"/>
      <c r="H367" s="774"/>
      <c r="I367" s="781" t="s">
        <v>213</v>
      </c>
      <c r="J367" s="782"/>
      <c r="K367" s="783"/>
      <c r="L367" s="781" t="s">
        <v>713</v>
      </c>
      <c r="M367" s="782"/>
      <c r="N367" s="782"/>
      <c r="O367" s="783"/>
      <c r="P367" s="781" t="s">
        <v>419</v>
      </c>
      <c r="Q367" s="782"/>
      <c r="R367" s="782"/>
      <c r="S367" s="783"/>
      <c r="T367" s="781" t="s">
        <v>428</v>
      </c>
      <c r="U367" s="782"/>
      <c r="V367" s="782"/>
      <c r="W367" s="783"/>
      <c r="X367" s="460"/>
      <c r="Y367" s="12"/>
      <c r="AA367" s="12"/>
      <c r="AB367" s="12"/>
      <c r="AC367" s="12"/>
      <c r="AH367" s="377"/>
    </row>
    <row r="368" spans="1:34" ht="12.75" customHeight="1">
      <c r="A368" s="844"/>
      <c r="B368" s="775"/>
      <c r="C368" s="776"/>
      <c r="D368" s="776"/>
      <c r="E368" s="776"/>
      <c r="F368" s="776"/>
      <c r="G368" s="776"/>
      <c r="H368" s="777"/>
      <c r="I368" s="784"/>
      <c r="J368" s="785"/>
      <c r="K368" s="786"/>
      <c r="L368" s="784"/>
      <c r="M368" s="785"/>
      <c r="N368" s="785"/>
      <c r="O368" s="786"/>
      <c r="P368" s="784"/>
      <c r="Q368" s="785"/>
      <c r="R368" s="785"/>
      <c r="S368" s="786"/>
      <c r="T368" s="784"/>
      <c r="U368" s="785"/>
      <c r="V368" s="785"/>
      <c r="W368" s="786"/>
      <c r="X368" s="460"/>
      <c r="Y368" s="12"/>
      <c r="AA368" s="12"/>
      <c r="AB368" s="12"/>
      <c r="AC368" s="12"/>
      <c r="AH368" s="377"/>
    </row>
    <row r="369" spans="1:34" ht="14.25" customHeight="1">
      <c r="A369" s="844"/>
      <c r="B369" s="775"/>
      <c r="C369" s="776"/>
      <c r="D369" s="776"/>
      <c r="E369" s="776"/>
      <c r="F369" s="776"/>
      <c r="G369" s="776"/>
      <c r="H369" s="777"/>
      <c r="I369" s="784"/>
      <c r="J369" s="785"/>
      <c r="K369" s="786"/>
      <c r="L369" s="784"/>
      <c r="M369" s="785"/>
      <c r="N369" s="785"/>
      <c r="O369" s="786"/>
      <c r="P369" s="784"/>
      <c r="Q369" s="785"/>
      <c r="R369" s="785"/>
      <c r="S369" s="786"/>
      <c r="T369" s="784"/>
      <c r="U369" s="785"/>
      <c r="V369" s="785"/>
      <c r="W369" s="786"/>
      <c r="X369" s="460"/>
      <c r="Y369" s="12"/>
      <c r="AA369" s="12"/>
      <c r="AB369" s="12"/>
      <c r="AC369" s="12"/>
      <c r="AH369" s="377"/>
    </row>
    <row r="370" spans="1:34" ht="12.75">
      <c r="A370" s="844"/>
      <c r="B370" s="775"/>
      <c r="C370" s="776"/>
      <c r="D370" s="776"/>
      <c r="E370" s="776"/>
      <c r="F370" s="776"/>
      <c r="G370" s="776"/>
      <c r="H370" s="777"/>
      <c r="I370" s="976"/>
      <c r="J370" s="977"/>
      <c r="K370" s="978"/>
      <c r="L370" s="982" t="s">
        <v>313</v>
      </c>
      <c r="M370" s="983"/>
      <c r="N370" s="983"/>
      <c r="O370" s="984"/>
      <c r="P370" s="982" t="s">
        <v>714</v>
      </c>
      <c r="Q370" s="983"/>
      <c r="R370" s="983"/>
      <c r="S370" s="984"/>
      <c r="T370" s="982" t="s">
        <v>443</v>
      </c>
      <c r="U370" s="983"/>
      <c r="V370" s="983"/>
      <c r="W370" s="984"/>
      <c r="X370" s="460"/>
      <c r="Y370" s="12"/>
      <c r="AH370" s="377"/>
    </row>
    <row r="371" spans="1:34" ht="12.75" customHeight="1">
      <c r="A371" s="844"/>
      <c r="B371" s="775"/>
      <c r="C371" s="776"/>
      <c r="D371" s="776"/>
      <c r="E371" s="776"/>
      <c r="F371" s="776"/>
      <c r="G371" s="776"/>
      <c r="H371" s="777"/>
      <c r="I371" s="976"/>
      <c r="J371" s="977"/>
      <c r="K371" s="978"/>
      <c r="L371" s="982"/>
      <c r="M371" s="983"/>
      <c r="N371" s="983"/>
      <c r="O371" s="984"/>
      <c r="P371" s="982"/>
      <c r="Q371" s="983"/>
      <c r="R371" s="983"/>
      <c r="S371" s="984"/>
      <c r="T371" s="982"/>
      <c r="U371" s="983"/>
      <c r="V371" s="983"/>
      <c r="W371" s="984"/>
      <c r="X371" s="460"/>
      <c r="Y371" s="12"/>
      <c r="AH371" s="377"/>
    </row>
    <row r="372" spans="1:34" ht="12.75">
      <c r="A372" s="844"/>
      <c r="B372" s="775"/>
      <c r="C372" s="776"/>
      <c r="D372" s="776"/>
      <c r="E372" s="776"/>
      <c r="F372" s="776"/>
      <c r="G372" s="776"/>
      <c r="H372" s="777"/>
      <c r="I372" s="985"/>
      <c r="J372" s="986"/>
      <c r="K372" s="987"/>
      <c r="L372" s="985" t="s">
        <v>294</v>
      </c>
      <c r="M372" s="986"/>
      <c r="N372" s="986"/>
      <c r="O372" s="986"/>
      <c r="P372" s="985" t="s">
        <v>303</v>
      </c>
      <c r="Q372" s="986"/>
      <c r="R372" s="986"/>
      <c r="S372" s="987"/>
      <c r="T372" s="985" t="s">
        <v>282</v>
      </c>
      <c r="U372" s="986"/>
      <c r="V372" s="986"/>
      <c r="W372" s="987"/>
      <c r="X372" s="460"/>
      <c r="Y372" s="12"/>
      <c r="AH372" s="377"/>
    </row>
    <row r="373" spans="1:34" ht="12.75">
      <c r="A373" s="844"/>
      <c r="B373" s="1032" t="str">
        <f>B338</f>
        <v>(далее – Прил. № 4)</v>
      </c>
      <c r="C373" s="1033"/>
      <c r="D373" s="1033"/>
      <c r="E373" s="1033"/>
      <c r="F373" s="1033"/>
      <c r="G373" s="1033"/>
      <c r="H373" s="1034"/>
      <c r="I373" s="853">
        <f>IF(Y374=0,IF(FIO="","",0),"")</f>
      </c>
      <c r="J373" s="854"/>
      <c r="K373" s="855"/>
      <c r="L373" s="791"/>
      <c r="M373" s="791"/>
      <c r="N373" s="791"/>
      <c r="O373" s="791"/>
      <c r="P373" s="791"/>
      <c r="Q373" s="791"/>
      <c r="R373" s="791"/>
      <c r="S373" s="791"/>
      <c r="T373" s="791"/>
      <c r="U373" s="791"/>
      <c r="V373" s="791"/>
      <c r="W373" s="791"/>
      <c r="X373" s="460"/>
      <c r="Z373" s="251" t="s">
        <v>210</v>
      </c>
      <c r="AA373" s="252" t="s">
        <v>278</v>
      </c>
      <c r="AE373" s="292" t="s">
        <v>3</v>
      </c>
      <c r="AF373" s="293" t="s">
        <v>2</v>
      </c>
      <c r="AH373" s="377"/>
    </row>
    <row r="374" spans="1:34" ht="12.75">
      <c r="A374" s="845"/>
      <c r="B374" s="979"/>
      <c r="C374" s="980"/>
      <c r="D374" s="980"/>
      <c r="E374" s="980"/>
      <c r="F374" s="980"/>
      <c r="G374" s="980"/>
      <c r="H374" s="981"/>
      <c r="I374" s="859"/>
      <c r="J374" s="860"/>
      <c r="K374" s="861"/>
      <c r="L374" s="791"/>
      <c r="M374" s="791"/>
      <c r="N374" s="791"/>
      <c r="O374" s="791"/>
      <c r="P374" s="791"/>
      <c r="Q374" s="791"/>
      <c r="R374" s="791"/>
      <c r="S374" s="791"/>
      <c r="T374" s="791"/>
      <c r="U374" s="791"/>
      <c r="V374" s="791"/>
      <c r="W374" s="791"/>
      <c r="X374" s="460"/>
      <c r="Y374" s="267">
        <f>SUM(L373:W374)</f>
        <v>0</v>
      </c>
      <c r="Z374" s="253">
        <v>90</v>
      </c>
      <c r="AA374" s="270">
        <f>IF(z_kateg="высшая",AE374,AF374)</f>
        <v>10</v>
      </c>
      <c r="AE374" s="288">
        <v>20</v>
      </c>
      <c r="AF374" s="289">
        <v>10</v>
      </c>
      <c r="AH374" s="377"/>
    </row>
    <row r="375" spans="1:34" ht="13.5">
      <c r="A375" s="812" t="s">
        <v>205</v>
      </c>
      <c r="B375" s="798" t="s">
        <v>206</v>
      </c>
      <c r="C375" s="799"/>
      <c r="D375" s="799"/>
      <c r="E375" s="799"/>
      <c r="F375" s="799"/>
      <c r="G375" s="799"/>
      <c r="H375" s="799"/>
      <c r="I375" s="815" t="s">
        <v>207</v>
      </c>
      <c r="J375" s="816"/>
      <c r="K375" s="816"/>
      <c r="L375" s="816"/>
      <c r="M375" s="816"/>
      <c r="N375" s="816"/>
      <c r="O375" s="816"/>
      <c r="P375" s="816"/>
      <c r="Q375" s="816"/>
      <c r="R375" s="816"/>
      <c r="S375" s="816"/>
      <c r="T375" s="816"/>
      <c r="U375" s="816"/>
      <c r="V375" s="816"/>
      <c r="W375" s="817"/>
      <c r="X375" s="460"/>
      <c r="AA375" s="1012"/>
      <c r="AE375" s="994"/>
      <c r="AF375" s="994"/>
      <c r="AH375" s="377"/>
    </row>
    <row r="376" spans="1:34" ht="14.25" customHeight="1">
      <c r="A376" s="813"/>
      <c r="B376" s="801"/>
      <c r="C376" s="802"/>
      <c r="D376" s="802"/>
      <c r="E376" s="802"/>
      <c r="F376" s="802"/>
      <c r="G376" s="802"/>
      <c r="H376" s="802"/>
      <c r="I376" s="818" t="s">
        <v>212</v>
      </c>
      <c r="J376" s="819"/>
      <c r="K376" s="819"/>
      <c r="L376" s="819"/>
      <c r="M376" s="819"/>
      <c r="N376" s="819"/>
      <c r="O376" s="819"/>
      <c r="P376" s="819"/>
      <c r="Q376" s="819"/>
      <c r="R376" s="819"/>
      <c r="S376" s="819"/>
      <c r="T376" s="819"/>
      <c r="U376" s="819"/>
      <c r="V376" s="819"/>
      <c r="W376" s="820"/>
      <c r="X376" s="460"/>
      <c r="AA376" s="1012"/>
      <c r="AE376" s="994"/>
      <c r="AF376" s="994"/>
      <c r="AH376" s="377"/>
    </row>
    <row r="377" spans="1:34" ht="14.25" customHeight="1">
      <c r="A377" s="814"/>
      <c r="B377" s="804"/>
      <c r="C377" s="805"/>
      <c r="D377" s="805"/>
      <c r="E377" s="805"/>
      <c r="F377" s="805"/>
      <c r="G377" s="805"/>
      <c r="H377" s="805"/>
      <c r="I377" s="887">
        <v>0</v>
      </c>
      <c r="J377" s="887"/>
      <c r="K377" s="887"/>
      <c r="L377" s="887"/>
      <c r="M377" s="887"/>
      <c r="N377" s="887" t="s">
        <v>214</v>
      </c>
      <c r="O377" s="887"/>
      <c r="P377" s="887"/>
      <c r="Q377" s="887"/>
      <c r="R377" s="887"/>
      <c r="S377" s="887" t="s">
        <v>232</v>
      </c>
      <c r="T377" s="887"/>
      <c r="U377" s="887"/>
      <c r="V377" s="887"/>
      <c r="W377" s="887"/>
      <c r="X377" s="460"/>
      <c r="AA377" s="1012"/>
      <c r="AE377" s="994"/>
      <c r="AF377" s="994"/>
      <c r="AH377" s="377"/>
    </row>
    <row r="378" spans="1:34" ht="12.75" customHeight="1">
      <c r="A378" s="843" t="s">
        <v>237</v>
      </c>
      <c r="B378" s="772" t="s">
        <v>304</v>
      </c>
      <c r="C378" s="773"/>
      <c r="D378" s="773"/>
      <c r="E378" s="773"/>
      <c r="F378" s="773"/>
      <c r="G378" s="773"/>
      <c r="H378" s="774"/>
      <c r="I378" s="781" t="s">
        <v>449</v>
      </c>
      <c r="J378" s="782"/>
      <c r="K378" s="782"/>
      <c r="L378" s="782"/>
      <c r="M378" s="783"/>
      <c r="N378" s="1051" t="s">
        <v>436</v>
      </c>
      <c r="O378" s="1052"/>
      <c r="P378" s="1052"/>
      <c r="Q378" s="1052"/>
      <c r="R378" s="1053"/>
      <c r="S378" s="1051" t="s">
        <v>437</v>
      </c>
      <c r="T378" s="1052"/>
      <c r="U378" s="1052"/>
      <c r="V378" s="1052"/>
      <c r="W378" s="1053"/>
      <c r="X378" s="460"/>
      <c r="AA378" s="1012"/>
      <c r="AE378" s="994"/>
      <c r="AF378" s="994"/>
      <c r="AH378" s="377"/>
    </row>
    <row r="379" spans="1:34" ht="6.75" customHeight="1">
      <c r="A379" s="844"/>
      <c r="B379" s="775"/>
      <c r="C379" s="776"/>
      <c r="D379" s="776"/>
      <c r="E379" s="776"/>
      <c r="F379" s="776"/>
      <c r="G379" s="776"/>
      <c r="H379" s="777"/>
      <c r="I379" s="784"/>
      <c r="J379" s="785"/>
      <c r="K379" s="785"/>
      <c r="L379" s="785"/>
      <c r="M379" s="786"/>
      <c r="N379" s="1041"/>
      <c r="O379" s="1042"/>
      <c r="P379" s="1042"/>
      <c r="Q379" s="1042"/>
      <c r="R379" s="1043"/>
      <c r="S379" s="1041"/>
      <c r="T379" s="1042"/>
      <c r="U379" s="1042"/>
      <c r="V379" s="1042"/>
      <c r="W379" s="1043"/>
      <c r="X379" s="460"/>
      <c r="AA379" s="1012"/>
      <c r="AE379" s="994"/>
      <c r="AF379" s="994"/>
      <c r="AH379" s="377"/>
    </row>
    <row r="380" spans="1:34" ht="12.75">
      <c r="A380" s="844"/>
      <c r="B380" s="1029" t="s">
        <v>314</v>
      </c>
      <c r="C380" s="1030"/>
      <c r="D380" s="1030"/>
      <c r="E380" s="1030"/>
      <c r="F380" s="1030"/>
      <c r="G380" s="1030"/>
      <c r="H380" s="1031"/>
      <c r="I380" s="784"/>
      <c r="J380" s="785"/>
      <c r="K380" s="785"/>
      <c r="L380" s="785"/>
      <c r="M380" s="786"/>
      <c r="N380" s="1041"/>
      <c r="O380" s="1042"/>
      <c r="P380" s="1042"/>
      <c r="Q380" s="1042"/>
      <c r="R380" s="1043"/>
      <c r="S380" s="1041"/>
      <c r="T380" s="1042"/>
      <c r="U380" s="1042"/>
      <c r="V380" s="1042"/>
      <c r="W380" s="1043"/>
      <c r="X380" s="460"/>
      <c r="AA380" s="1012"/>
      <c r="AE380" s="994"/>
      <c r="AF380" s="994"/>
      <c r="AH380" s="377"/>
    </row>
    <row r="381" spans="1:34" ht="12.75">
      <c r="A381" s="844"/>
      <c r="B381" s="1032" t="s">
        <v>435</v>
      </c>
      <c r="C381" s="1033"/>
      <c r="D381" s="1033"/>
      <c r="E381" s="1033"/>
      <c r="F381" s="1033"/>
      <c r="G381" s="1033"/>
      <c r="H381" s="1034"/>
      <c r="I381" s="1041"/>
      <c r="J381" s="1042"/>
      <c r="K381" s="1042"/>
      <c r="L381" s="1042"/>
      <c r="M381" s="1043"/>
      <c r="N381" s="976" t="s">
        <v>432</v>
      </c>
      <c r="O381" s="977"/>
      <c r="P381" s="977"/>
      <c r="Q381" s="977"/>
      <c r="R381" s="978"/>
      <c r="S381" s="976" t="s">
        <v>433</v>
      </c>
      <c r="T381" s="977"/>
      <c r="U381" s="977"/>
      <c r="V381" s="977"/>
      <c r="W381" s="978"/>
      <c r="X381" s="460"/>
      <c r="AA381" s="1012"/>
      <c r="AE381" s="994"/>
      <c r="AF381" s="994"/>
      <c r="AH381" s="377"/>
    </row>
    <row r="382" spans="1:34" ht="12.75" customHeight="1">
      <c r="A382" s="844"/>
      <c r="B382" s="1032"/>
      <c r="C382" s="1033"/>
      <c r="D382" s="1033"/>
      <c r="E382" s="1033"/>
      <c r="F382" s="1033"/>
      <c r="G382" s="1033"/>
      <c r="H382" s="1034"/>
      <c r="I382" s="1041"/>
      <c r="J382" s="1042"/>
      <c r="K382" s="1042"/>
      <c r="L382" s="1042"/>
      <c r="M382" s="1043"/>
      <c r="N382" s="976" t="s">
        <v>431</v>
      </c>
      <c r="O382" s="977"/>
      <c r="P382" s="977"/>
      <c r="Q382" s="977"/>
      <c r="R382" s="978"/>
      <c r="S382" s="976" t="s">
        <v>434</v>
      </c>
      <c r="T382" s="977"/>
      <c r="U382" s="977"/>
      <c r="V382" s="977"/>
      <c r="W382" s="978"/>
      <c r="X382" s="460"/>
      <c r="AA382" s="1012"/>
      <c r="AE382" s="994"/>
      <c r="AF382" s="994"/>
      <c r="AH382" s="377"/>
    </row>
    <row r="383" spans="1:34" ht="27.75" customHeight="1">
      <c r="A383" s="844"/>
      <c r="B383" s="1032"/>
      <c r="C383" s="1033"/>
      <c r="D383" s="1033"/>
      <c r="E383" s="1033"/>
      <c r="F383" s="1033"/>
      <c r="G383" s="1033"/>
      <c r="H383" s="1034"/>
      <c r="I383" s="1054"/>
      <c r="J383" s="1055"/>
      <c r="K383" s="1055"/>
      <c r="L383" s="1055"/>
      <c r="M383" s="1056"/>
      <c r="N383" s="1057" t="s">
        <v>430</v>
      </c>
      <c r="O383" s="1058"/>
      <c r="P383" s="1058"/>
      <c r="Q383" s="1058"/>
      <c r="R383" s="1059"/>
      <c r="S383" s="973"/>
      <c r="T383" s="974"/>
      <c r="U383" s="974"/>
      <c r="V383" s="974"/>
      <c r="W383" s="975"/>
      <c r="X383" s="460"/>
      <c r="Y383" s="12"/>
      <c r="Z383" s="243"/>
      <c r="AA383" s="1012"/>
      <c r="AB383" s="279"/>
      <c r="AC383" s="12"/>
      <c r="AD383" s="12"/>
      <c r="AE383" s="994"/>
      <c r="AF383" s="994"/>
      <c r="AH383" s="377"/>
    </row>
    <row r="384" spans="1:34" ht="12.75" customHeight="1">
      <c r="A384" s="844"/>
      <c r="B384" s="1032"/>
      <c r="C384" s="1033"/>
      <c r="D384" s="1033"/>
      <c r="E384" s="1033"/>
      <c r="F384" s="1033"/>
      <c r="G384" s="1033"/>
      <c r="H384" s="1034"/>
      <c r="I384" s="790">
        <f>IF(Y385=0,IF(FIO="","",0),"")</f>
      </c>
      <c r="J384" s="790"/>
      <c r="K384" s="790"/>
      <c r="L384" s="790"/>
      <c r="M384" s="790"/>
      <c r="N384" s="791"/>
      <c r="O384" s="791"/>
      <c r="P384" s="791"/>
      <c r="Q384" s="791"/>
      <c r="R384" s="791"/>
      <c r="S384" s="791"/>
      <c r="T384" s="791"/>
      <c r="U384" s="791"/>
      <c r="V384" s="791"/>
      <c r="W384" s="791"/>
      <c r="X384" s="460"/>
      <c r="Z384" s="251" t="s">
        <v>210</v>
      </c>
      <c r="AA384" s="1012"/>
      <c r="AE384" s="994"/>
      <c r="AF384" s="994"/>
      <c r="AH384" s="377"/>
    </row>
    <row r="385" spans="1:34" ht="12.75" customHeight="1">
      <c r="A385" s="845"/>
      <c r="B385" s="979"/>
      <c r="C385" s="980"/>
      <c r="D385" s="980"/>
      <c r="E385" s="980"/>
      <c r="F385" s="980"/>
      <c r="G385" s="980"/>
      <c r="H385" s="981"/>
      <c r="I385" s="790"/>
      <c r="J385" s="790"/>
      <c r="K385" s="790"/>
      <c r="L385" s="790"/>
      <c r="M385" s="790"/>
      <c r="N385" s="791"/>
      <c r="O385" s="791"/>
      <c r="P385" s="791"/>
      <c r="Q385" s="791"/>
      <c r="R385" s="791"/>
      <c r="S385" s="791"/>
      <c r="T385" s="791"/>
      <c r="U385" s="791"/>
      <c r="V385" s="791"/>
      <c r="W385" s="791"/>
      <c r="X385" s="460"/>
      <c r="Y385" s="267">
        <f>SUM(N384:W385)</f>
        <v>0</v>
      </c>
      <c r="Z385" s="253">
        <v>100</v>
      </c>
      <c r="AA385" s="1012"/>
      <c r="AE385" s="994"/>
      <c r="AF385" s="994"/>
      <c r="AH385" s="377"/>
    </row>
    <row r="386" spans="24:34" ht="6.75" customHeight="1">
      <c r="X386" s="460"/>
      <c r="AA386" s="200"/>
      <c r="AB386" s="200"/>
      <c r="AC386" s="200"/>
      <c r="AH386" s="377"/>
    </row>
    <row r="387" spans="1:34" ht="13.5">
      <c r="A387" s="263" t="s">
        <v>239</v>
      </c>
      <c r="B387" s="198" t="s">
        <v>240</v>
      </c>
      <c r="X387" s="460"/>
      <c r="AA387" s="200"/>
      <c r="AB387" s="200"/>
      <c r="AC387" s="200"/>
      <c r="AH387" s="377"/>
    </row>
    <row r="388" spans="1:34" ht="12.75" customHeight="1">
      <c r="A388" s="812" t="s">
        <v>205</v>
      </c>
      <c r="B388" s="971" t="s">
        <v>206</v>
      </c>
      <c r="C388" s="971"/>
      <c r="D388" s="971"/>
      <c r="E388" s="971"/>
      <c r="F388" s="815" t="s">
        <v>207</v>
      </c>
      <c r="G388" s="816"/>
      <c r="H388" s="816"/>
      <c r="I388" s="816"/>
      <c r="J388" s="816"/>
      <c r="K388" s="816"/>
      <c r="L388" s="816"/>
      <c r="M388" s="816"/>
      <c r="N388" s="816"/>
      <c r="O388" s="816"/>
      <c r="P388" s="816"/>
      <c r="Q388" s="816"/>
      <c r="R388" s="816"/>
      <c r="S388" s="816"/>
      <c r="T388" s="816"/>
      <c r="U388" s="816"/>
      <c r="V388" s="816"/>
      <c r="W388" s="817"/>
      <c r="X388" s="460"/>
      <c r="AA388" s="200"/>
      <c r="AH388" s="377"/>
    </row>
    <row r="389" spans="1:34" ht="12.75" customHeight="1">
      <c r="A389" s="813"/>
      <c r="B389" s="971"/>
      <c r="C389" s="971"/>
      <c r="D389" s="971"/>
      <c r="E389" s="971"/>
      <c r="F389" s="818" t="s">
        <v>208</v>
      </c>
      <c r="G389" s="819"/>
      <c r="H389" s="819"/>
      <c r="I389" s="819"/>
      <c r="J389" s="819"/>
      <c r="K389" s="819"/>
      <c r="L389" s="819"/>
      <c r="M389" s="819"/>
      <c r="N389" s="819"/>
      <c r="O389" s="819"/>
      <c r="P389" s="819"/>
      <c r="Q389" s="819"/>
      <c r="R389" s="819"/>
      <c r="S389" s="819"/>
      <c r="T389" s="819"/>
      <c r="U389" s="819"/>
      <c r="V389" s="819"/>
      <c r="W389" s="820"/>
      <c r="X389" s="460"/>
      <c r="AA389" s="200"/>
      <c r="AH389" s="377"/>
    </row>
    <row r="390" spans="1:34" ht="15" customHeight="1">
      <c r="A390" s="814"/>
      <c r="B390" s="971"/>
      <c r="C390" s="971"/>
      <c r="D390" s="971"/>
      <c r="E390" s="971"/>
      <c r="F390" s="877">
        <v>0</v>
      </c>
      <c r="G390" s="878"/>
      <c r="H390" s="877">
        <v>10</v>
      </c>
      <c r="I390" s="878"/>
      <c r="J390" s="879"/>
      <c r="K390" s="877" t="s">
        <v>215</v>
      </c>
      <c r="L390" s="878"/>
      <c r="M390" s="878"/>
      <c r="N390" s="878"/>
      <c r="O390" s="879"/>
      <c r="P390" s="1096" t="s">
        <v>216</v>
      </c>
      <c r="Q390" s="1097"/>
      <c r="R390" s="1097"/>
      <c r="S390" s="1097"/>
      <c r="T390" s="1098"/>
      <c r="U390" s="877">
        <v>10</v>
      </c>
      <c r="V390" s="878"/>
      <c r="W390" s="879"/>
      <c r="X390" s="460"/>
      <c r="AA390" s="200"/>
      <c r="AH390" s="377"/>
    </row>
    <row r="391" spans="1:34" ht="12.75" customHeight="1">
      <c r="A391" s="769" t="s">
        <v>241</v>
      </c>
      <c r="B391" s="772" t="s">
        <v>442</v>
      </c>
      <c r="C391" s="773"/>
      <c r="D391" s="773"/>
      <c r="E391" s="774"/>
      <c r="F391" s="1051" t="s">
        <v>242</v>
      </c>
      <c r="G391" s="1052"/>
      <c r="H391" s="781" t="s">
        <v>440</v>
      </c>
      <c r="I391" s="782"/>
      <c r="J391" s="783"/>
      <c r="K391" s="784" t="s">
        <v>306</v>
      </c>
      <c r="L391" s="785"/>
      <c r="M391" s="785"/>
      <c r="N391" s="785"/>
      <c r="O391" s="786"/>
      <c r="P391" s="781" t="s">
        <v>361</v>
      </c>
      <c r="Q391" s="782"/>
      <c r="R391" s="782"/>
      <c r="S391" s="782"/>
      <c r="T391" s="783"/>
      <c r="U391" s="781" t="s">
        <v>441</v>
      </c>
      <c r="V391" s="782"/>
      <c r="W391" s="783"/>
      <c r="X391" s="460"/>
      <c r="Y391" s="12"/>
      <c r="AA391" s="12"/>
      <c r="AH391" s="377"/>
    </row>
    <row r="392" spans="1:34" ht="12.75" customHeight="1">
      <c r="A392" s="770"/>
      <c r="B392" s="775"/>
      <c r="C392" s="776"/>
      <c r="D392" s="776"/>
      <c r="E392" s="777"/>
      <c r="F392" s="1041"/>
      <c r="G392" s="1042"/>
      <c r="H392" s="784"/>
      <c r="I392" s="785"/>
      <c r="J392" s="786"/>
      <c r="K392" s="784"/>
      <c r="L392" s="785"/>
      <c r="M392" s="785"/>
      <c r="N392" s="785"/>
      <c r="O392" s="786"/>
      <c r="P392" s="784"/>
      <c r="Q392" s="785"/>
      <c r="R392" s="785"/>
      <c r="S392" s="785"/>
      <c r="T392" s="786"/>
      <c r="U392" s="784"/>
      <c r="V392" s="785"/>
      <c r="W392" s="786"/>
      <c r="X392" s="460"/>
      <c r="Y392" s="12"/>
      <c r="AA392" s="12"/>
      <c r="AH392" s="377"/>
    </row>
    <row r="393" spans="1:34" ht="2.25" customHeight="1">
      <c r="A393" s="770"/>
      <c r="B393" s="775"/>
      <c r="C393" s="776"/>
      <c r="D393" s="776"/>
      <c r="E393" s="777"/>
      <c r="F393" s="1041"/>
      <c r="G393" s="1042"/>
      <c r="H393" s="784"/>
      <c r="I393" s="785"/>
      <c r="J393" s="786"/>
      <c r="K393" s="784"/>
      <c r="L393" s="785"/>
      <c r="M393" s="785"/>
      <c r="N393" s="785"/>
      <c r="O393" s="786"/>
      <c r="P393" s="784"/>
      <c r="Q393" s="785"/>
      <c r="R393" s="785"/>
      <c r="S393" s="785"/>
      <c r="T393" s="786"/>
      <c r="U393" s="1066"/>
      <c r="V393" s="1067"/>
      <c r="W393" s="1068"/>
      <c r="X393" s="460"/>
      <c r="Y393" s="12"/>
      <c r="AA393" s="12"/>
      <c r="AH393" s="377"/>
    </row>
    <row r="394" spans="1:34" ht="12.75">
      <c r="A394" s="770"/>
      <c r="B394" s="775"/>
      <c r="C394" s="776"/>
      <c r="D394" s="776"/>
      <c r="E394" s="777"/>
      <c r="F394" s="411"/>
      <c r="G394" s="412"/>
      <c r="H394" s="982"/>
      <c r="I394" s="983"/>
      <c r="J394" s="984"/>
      <c r="K394" s="982" t="s">
        <v>477</v>
      </c>
      <c r="L394" s="983"/>
      <c r="M394" s="983"/>
      <c r="N394" s="983"/>
      <c r="O394" s="984"/>
      <c r="P394" s="982" t="s">
        <v>478</v>
      </c>
      <c r="Q394" s="983"/>
      <c r="R394" s="983"/>
      <c r="S394" s="983"/>
      <c r="T394" s="984"/>
      <c r="U394" s="1066"/>
      <c r="V394" s="1067"/>
      <c r="W394" s="1068"/>
      <c r="X394" s="460"/>
      <c r="Y394" s="12"/>
      <c r="AH394" s="377"/>
    </row>
    <row r="395" spans="1:34" ht="12.75" customHeight="1">
      <c r="A395" s="770"/>
      <c r="B395" s="775"/>
      <c r="C395" s="776"/>
      <c r="D395" s="776"/>
      <c r="E395" s="777"/>
      <c r="F395" s="411"/>
      <c r="G395" s="412"/>
      <c r="H395" s="982"/>
      <c r="I395" s="983"/>
      <c r="J395" s="984"/>
      <c r="K395" s="982"/>
      <c r="L395" s="983"/>
      <c r="M395" s="983"/>
      <c r="N395" s="983"/>
      <c r="O395" s="984"/>
      <c r="P395" s="982"/>
      <c r="Q395" s="983"/>
      <c r="R395" s="983"/>
      <c r="S395" s="983"/>
      <c r="T395" s="984"/>
      <c r="U395" s="1066"/>
      <c r="V395" s="1067"/>
      <c r="W395" s="1068"/>
      <c r="X395" s="460"/>
      <c r="Y395" s="12"/>
      <c r="AH395" s="377"/>
    </row>
    <row r="396" spans="1:34" ht="12.75" customHeight="1">
      <c r="A396" s="770"/>
      <c r="B396" s="775"/>
      <c r="C396" s="776"/>
      <c r="D396" s="776"/>
      <c r="E396" s="777"/>
      <c r="F396" s="411"/>
      <c r="G396" s="412"/>
      <c r="H396" s="982"/>
      <c r="I396" s="983"/>
      <c r="J396" s="984"/>
      <c r="K396" s="1111" t="s">
        <v>438</v>
      </c>
      <c r="L396" s="1112"/>
      <c r="M396" s="1112"/>
      <c r="N396" s="1112"/>
      <c r="O396" s="1113"/>
      <c r="P396" s="1111" t="s">
        <v>439</v>
      </c>
      <c r="Q396" s="1112"/>
      <c r="R396" s="1112"/>
      <c r="S396" s="1112"/>
      <c r="T396" s="1113"/>
      <c r="U396" s="1066"/>
      <c r="V396" s="1067"/>
      <c r="W396" s="1068"/>
      <c r="X396" s="460"/>
      <c r="Y396" s="12"/>
      <c r="AH396" s="377"/>
    </row>
    <row r="397" spans="1:34" ht="12.75" customHeight="1">
      <c r="A397" s="770"/>
      <c r="B397" s="775"/>
      <c r="C397" s="776"/>
      <c r="D397" s="776"/>
      <c r="E397" s="777"/>
      <c r="F397" s="413"/>
      <c r="G397" s="414"/>
      <c r="H397" s="1108"/>
      <c r="I397" s="1109"/>
      <c r="J397" s="1110"/>
      <c r="K397" s="1114"/>
      <c r="L397" s="1115"/>
      <c r="M397" s="1115"/>
      <c r="N397" s="1115"/>
      <c r="O397" s="1116"/>
      <c r="P397" s="1114"/>
      <c r="Q397" s="1115"/>
      <c r="R397" s="1115"/>
      <c r="S397" s="1115"/>
      <c r="T397" s="1116"/>
      <c r="U397" s="1069"/>
      <c r="V397" s="1070"/>
      <c r="W397" s="1071"/>
      <c r="X397" s="460"/>
      <c r="Y397" s="12"/>
      <c r="AH397" s="377"/>
    </row>
    <row r="398" spans="1:34" ht="12.75" customHeight="1">
      <c r="A398" s="770"/>
      <c r="B398" s="1032" t="str">
        <f>B338</f>
        <v>(далее – Прил. № 4)</v>
      </c>
      <c r="C398" s="1033"/>
      <c r="D398" s="1033"/>
      <c r="E398" s="1034"/>
      <c r="F398" s="853">
        <f>IF(Y399=0,IF(FIO="","",0),"")</f>
      </c>
      <c r="G398" s="854"/>
      <c r="H398" s="942"/>
      <c r="I398" s="943"/>
      <c r="J398" s="944"/>
      <c r="K398" s="1105"/>
      <c r="L398" s="1106"/>
      <c r="M398" s="1106"/>
      <c r="N398" s="1106"/>
      <c r="O398" s="1107"/>
      <c r="P398" s="1105"/>
      <c r="Q398" s="1106"/>
      <c r="R398" s="1106"/>
      <c r="S398" s="1106"/>
      <c r="T398" s="1107"/>
      <c r="U398" s="942"/>
      <c r="V398" s="943"/>
      <c r="W398" s="944"/>
      <c r="X398" s="460"/>
      <c r="Z398" s="251" t="s">
        <v>210</v>
      </c>
      <c r="AA398" s="252" t="s">
        <v>278</v>
      </c>
      <c r="AE398" s="292" t="s">
        <v>3</v>
      </c>
      <c r="AF398" s="293" t="s">
        <v>2</v>
      </c>
      <c r="AH398" s="377"/>
    </row>
    <row r="399" spans="1:34" ht="12.75" customHeight="1">
      <c r="A399" s="771"/>
      <c r="B399" s="979"/>
      <c r="C399" s="980"/>
      <c r="D399" s="980"/>
      <c r="E399" s="981"/>
      <c r="F399" s="859"/>
      <c r="G399" s="860"/>
      <c r="H399" s="945"/>
      <c r="I399" s="946"/>
      <c r="J399" s="947"/>
      <c r="K399" s="945"/>
      <c r="L399" s="946"/>
      <c r="M399" s="946"/>
      <c r="N399" s="946"/>
      <c r="O399" s="947"/>
      <c r="P399" s="945"/>
      <c r="Q399" s="946"/>
      <c r="R399" s="946"/>
      <c r="S399" s="946"/>
      <c r="T399" s="947"/>
      <c r="U399" s="945"/>
      <c r="V399" s="946"/>
      <c r="W399" s="947"/>
      <c r="X399" s="460"/>
      <c r="Y399" s="267">
        <f>MAX(H398:W399)</f>
        <v>0</v>
      </c>
      <c r="Z399" s="253">
        <v>60</v>
      </c>
      <c r="AA399" s="270">
        <f>IF(z_kateg="высшая",AE399,AF399)</f>
        <v>10</v>
      </c>
      <c r="AE399" s="288">
        <v>30</v>
      </c>
      <c r="AF399" s="289">
        <v>10</v>
      </c>
      <c r="AH399" s="377"/>
    </row>
    <row r="400" spans="24:34" ht="6.75" customHeight="1">
      <c r="X400" s="460"/>
      <c r="AA400" s="200"/>
      <c r="AB400" s="200"/>
      <c r="AC400" s="200"/>
      <c r="AH400" s="377"/>
    </row>
    <row r="401" spans="1:34" ht="13.5">
      <c r="A401" s="263" t="s">
        <v>243</v>
      </c>
      <c r="B401" s="198" t="s">
        <v>244</v>
      </c>
      <c r="X401" s="460"/>
      <c r="AA401" s="200"/>
      <c r="AB401" s="200"/>
      <c r="AC401" s="200"/>
      <c r="AH401" s="377"/>
    </row>
    <row r="402" spans="1:34" ht="13.5">
      <c r="A402" s="812" t="s">
        <v>205</v>
      </c>
      <c r="B402" s="798" t="s">
        <v>206</v>
      </c>
      <c r="C402" s="799"/>
      <c r="D402" s="799"/>
      <c r="E402" s="799"/>
      <c r="F402" s="799"/>
      <c r="G402" s="799"/>
      <c r="H402" s="799"/>
      <c r="I402" s="799"/>
      <c r="J402" s="799"/>
      <c r="K402" s="800"/>
      <c r="L402" s="815" t="s">
        <v>207</v>
      </c>
      <c r="M402" s="816"/>
      <c r="N402" s="816"/>
      <c r="O402" s="816"/>
      <c r="P402" s="816"/>
      <c r="Q402" s="816"/>
      <c r="R402" s="816"/>
      <c r="S402" s="816"/>
      <c r="T402" s="816"/>
      <c r="U402" s="816"/>
      <c r="V402" s="816"/>
      <c r="W402" s="817"/>
      <c r="X402" s="460"/>
      <c r="AH402" s="377"/>
    </row>
    <row r="403" spans="1:34" ht="14.25" customHeight="1">
      <c r="A403" s="813"/>
      <c r="B403" s="801"/>
      <c r="C403" s="802"/>
      <c r="D403" s="802"/>
      <c r="E403" s="802"/>
      <c r="F403" s="802"/>
      <c r="G403" s="802"/>
      <c r="H403" s="802"/>
      <c r="I403" s="802"/>
      <c r="J403" s="802"/>
      <c r="K403" s="803"/>
      <c r="L403" s="818" t="s">
        <v>208</v>
      </c>
      <c r="M403" s="819"/>
      <c r="N403" s="819"/>
      <c r="O403" s="819"/>
      <c r="P403" s="819"/>
      <c r="Q403" s="819"/>
      <c r="R403" s="819"/>
      <c r="S403" s="819"/>
      <c r="T403" s="819"/>
      <c r="U403" s="819"/>
      <c r="V403" s="819"/>
      <c r="W403" s="820"/>
      <c r="X403" s="460"/>
      <c r="AH403" s="377"/>
    </row>
    <row r="404" spans="1:34" ht="14.25" customHeight="1">
      <c r="A404" s="814"/>
      <c r="B404" s="804"/>
      <c r="C404" s="805"/>
      <c r="D404" s="805"/>
      <c r="E404" s="805"/>
      <c r="F404" s="805"/>
      <c r="G404" s="805"/>
      <c r="H404" s="805"/>
      <c r="I404" s="805"/>
      <c r="J404" s="805"/>
      <c r="K404" s="806"/>
      <c r="L404" s="877">
        <v>0</v>
      </c>
      <c r="M404" s="878"/>
      <c r="N404" s="878"/>
      <c r="O404" s="879"/>
      <c r="P404" s="877">
        <v>20</v>
      </c>
      <c r="Q404" s="878"/>
      <c r="R404" s="878"/>
      <c r="S404" s="879"/>
      <c r="T404" s="821">
        <v>30</v>
      </c>
      <c r="U404" s="823"/>
      <c r="V404" s="823"/>
      <c r="W404" s="822"/>
      <c r="X404" s="460"/>
      <c r="AH404" s="377"/>
    </row>
    <row r="405" spans="1:34" ht="12.75" customHeight="1">
      <c r="A405" s="249" t="s">
        <v>245</v>
      </c>
      <c r="B405" s="772" t="s">
        <v>696</v>
      </c>
      <c r="C405" s="773"/>
      <c r="D405" s="773"/>
      <c r="E405" s="773"/>
      <c r="F405" s="773"/>
      <c r="G405" s="773"/>
      <c r="H405" s="773"/>
      <c r="I405" s="773"/>
      <c r="J405" s="773"/>
      <c r="K405" s="774"/>
      <c r="L405" s="880" t="s">
        <v>364</v>
      </c>
      <c r="M405" s="881"/>
      <c r="N405" s="881"/>
      <c r="O405" s="882"/>
      <c r="P405" s="781" t="s">
        <v>365</v>
      </c>
      <c r="Q405" s="782"/>
      <c r="R405" s="782"/>
      <c r="S405" s="783"/>
      <c r="T405" s="781" t="s">
        <v>444</v>
      </c>
      <c r="U405" s="782"/>
      <c r="V405" s="782"/>
      <c r="W405" s="783"/>
      <c r="X405" s="460"/>
      <c r="Y405" s="12"/>
      <c r="AA405" s="12"/>
      <c r="AB405" s="12"/>
      <c r="AC405" s="12"/>
      <c r="AH405" s="377"/>
    </row>
    <row r="406" spans="1:34" ht="12.75" customHeight="1">
      <c r="A406" s="305"/>
      <c r="B406" s="775"/>
      <c r="C406" s="776"/>
      <c r="D406" s="776"/>
      <c r="E406" s="776"/>
      <c r="F406" s="776"/>
      <c r="G406" s="776"/>
      <c r="H406" s="776"/>
      <c r="I406" s="776"/>
      <c r="J406" s="776"/>
      <c r="K406" s="777"/>
      <c r="L406" s="883"/>
      <c r="M406" s="884"/>
      <c r="N406" s="884"/>
      <c r="O406" s="885"/>
      <c r="P406" s="784"/>
      <c r="Q406" s="785"/>
      <c r="R406" s="785"/>
      <c r="S406" s="786"/>
      <c r="T406" s="784"/>
      <c r="U406" s="785"/>
      <c r="V406" s="785"/>
      <c r="W406" s="786"/>
      <c r="X406" s="460"/>
      <c r="Y406" s="12"/>
      <c r="AA406" s="12"/>
      <c r="AB406" s="12"/>
      <c r="AC406" s="12"/>
      <c r="AH406" s="377"/>
    </row>
    <row r="407" spans="1:34" ht="5.25" customHeight="1">
      <c r="A407" s="277"/>
      <c r="B407" s="775"/>
      <c r="C407" s="776"/>
      <c r="D407" s="776"/>
      <c r="E407" s="776"/>
      <c r="F407" s="776"/>
      <c r="G407" s="776"/>
      <c r="H407" s="776"/>
      <c r="I407" s="776"/>
      <c r="J407" s="776"/>
      <c r="K407" s="777"/>
      <c r="L407" s="883"/>
      <c r="M407" s="884"/>
      <c r="N407" s="884"/>
      <c r="O407" s="885"/>
      <c r="P407" s="784"/>
      <c r="Q407" s="785"/>
      <c r="R407" s="785"/>
      <c r="S407" s="786"/>
      <c r="T407" s="784"/>
      <c r="U407" s="785"/>
      <c r="V407" s="785"/>
      <c r="W407" s="786"/>
      <c r="X407" s="460"/>
      <c r="Y407" s="12"/>
      <c r="AA407" s="12"/>
      <c r="AB407" s="12"/>
      <c r="AC407" s="12"/>
      <c r="AH407" s="377"/>
    </row>
    <row r="408" spans="1:34" ht="14.25" customHeight="1">
      <c r="A408" s="278"/>
      <c r="B408" s="874" t="s">
        <v>315</v>
      </c>
      <c r="C408" s="875"/>
      <c r="D408" s="875"/>
      <c r="E408" s="875"/>
      <c r="F408" s="875"/>
      <c r="G408" s="875"/>
      <c r="H408" s="875"/>
      <c r="I408" s="875"/>
      <c r="J408" s="875"/>
      <c r="K408" s="876"/>
      <c r="L408" s="883"/>
      <c r="M408" s="884"/>
      <c r="N408" s="884"/>
      <c r="O408" s="885"/>
      <c r="P408" s="784"/>
      <c r="Q408" s="785"/>
      <c r="R408" s="785"/>
      <c r="S408" s="786"/>
      <c r="T408" s="784"/>
      <c r="U408" s="785"/>
      <c r="V408" s="785"/>
      <c r="W408" s="786"/>
      <c r="X408" s="460"/>
      <c r="Y408" s="12"/>
      <c r="AA408" s="12"/>
      <c r="AB408" s="12"/>
      <c r="AC408" s="12"/>
      <c r="AH408" s="377"/>
    </row>
    <row r="409" spans="1:34" ht="12.75" customHeight="1">
      <c r="A409" s="277"/>
      <c r="B409" s="846" t="s">
        <v>363</v>
      </c>
      <c r="C409" s="847"/>
      <c r="D409" s="847"/>
      <c r="E409" s="847"/>
      <c r="F409" s="847"/>
      <c r="G409" s="847"/>
      <c r="H409" s="847"/>
      <c r="I409" s="847"/>
      <c r="J409" s="847"/>
      <c r="K409" s="848"/>
      <c r="L409" s="883"/>
      <c r="M409" s="884"/>
      <c r="N409" s="884"/>
      <c r="O409" s="885"/>
      <c r="P409" s="784"/>
      <c r="Q409" s="785"/>
      <c r="R409" s="785"/>
      <c r="S409" s="786"/>
      <c r="T409" s="784"/>
      <c r="U409" s="785"/>
      <c r="V409" s="785"/>
      <c r="W409" s="786"/>
      <c r="X409" s="460"/>
      <c r="Y409" s="12"/>
      <c r="AH409" s="377"/>
    </row>
    <row r="410" spans="1:34" ht="12.75">
      <c r="A410" s="298"/>
      <c r="B410" s="846"/>
      <c r="C410" s="847"/>
      <c r="D410" s="847"/>
      <c r="E410" s="847"/>
      <c r="F410" s="847"/>
      <c r="G410" s="847"/>
      <c r="H410" s="847"/>
      <c r="I410" s="847"/>
      <c r="J410" s="847"/>
      <c r="K410" s="848"/>
      <c r="L410" s="853">
        <f>IF(Y411=0,IF(FIO="","",0),"")</f>
      </c>
      <c r="M410" s="854"/>
      <c r="N410" s="854"/>
      <c r="O410" s="855"/>
      <c r="P410" s="791"/>
      <c r="Q410" s="791"/>
      <c r="R410" s="791"/>
      <c r="S410" s="791"/>
      <c r="T410" s="791"/>
      <c r="U410" s="791"/>
      <c r="V410" s="791"/>
      <c r="W410" s="791"/>
      <c r="X410" s="460"/>
      <c r="Z410" s="251" t="s">
        <v>210</v>
      </c>
      <c r="AA410" s="252" t="s">
        <v>278</v>
      </c>
      <c r="AE410" s="292" t="s">
        <v>3</v>
      </c>
      <c r="AF410" s="293" t="s">
        <v>2</v>
      </c>
      <c r="AH410" s="377"/>
    </row>
    <row r="411" spans="1:34" ht="12.75">
      <c r="A411" s="299"/>
      <c r="B411" s="849"/>
      <c r="C411" s="850"/>
      <c r="D411" s="850"/>
      <c r="E411" s="850"/>
      <c r="F411" s="850"/>
      <c r="G411" s="850"/>
      <c r="H411" s="850"/>
      <c r="I411" s="850"/>
      <c r="J411" s="850"/>
      <c r="K411" s="851"/>
      <c r="L411" s="859"/>
      <c r="M411" s="860"/>
      <c r="N411" s="860"/>
      <c r="O411" s="861"/>
      <c r="P411" s="791"/>
      <c r="Q411" s="791"/>
      <c r="R411" s="791"/>
      <c r="S411" s="791"/>
      <c r="T411" s="791"/>
      <c r="U411" s="791"/>
      <c r="V411" s="791"/>
      <c r="W411" s="791"/>
      <c r="X411" s="460"/>
      <c r="Y411" s="267">
        <f>MAX(P410:W411)</f>
        <v>0</v>
      </c>
      <c r="Z411" s="253">
        <v>30</v>
      </c>
      <c r="AA411" s="270">
        <f>IF(z_kateg="высшая",AE411,AF411)</f>
        <v>0</v>
      </c>
      <c r="AE411" s="288">
        <v>0</v>
      </c>
      <c r="AF411" s="289">
        <v>0</v>
      </c>
      <c r="AH411" s="377"/>
    </row>
    <row r="412" spans="1:34" ht="14.25">
      <c r="A412" s="812" t="s">
        <v>205</v>
      </c>
      <c r="B412" s="798" t="s">
        <v>206</v>
      </c>
      <c r="C412" s="799"/>
      <c r="D412" s="799"/>
      <c r="E412" s="799"/>
      <c r="F412" s="799"/>
      <c r="G412" s="799"/>
      <c r="H412" s="799"/>
      <c r="I412" s="799"/>
      <c r="J412" s="799"/>
      <c r="K412" s="800"/>
      <c r="L412" s="815" t="s">
        <v>207</v>
      </c>
      <c r="M412" s="816"/>
      <c r="N412" s="816"/>
      <c r="O412" s="816"/>
      <c r="P412" s="816"/>
      <c r="Q412" s="816"/>
      <c r="R412" s="816"/>
      <c r="S412" s="816"/>
      <c r="T412" s="816"/>
      <c r="U412" s="816"/>
      <c r="V412" s="816"/>
      <c r="W412" s="817"/>
      <c r="X412" s="460"/>
      <c r="AH412" s="377"/>
    </row>
    <row r="413" spans="1:34" ht="14.25" customHeight="1">
      <c r="A413" s="813"/>
      <c r="B413" s="801"/>
      <c r="C413" s="802"/>
      <c r="D413" s="802"/>
      <c r="E413" s="802"/>
      <c r="F413" s="802"/>
      <c r="G413" s="802"/>
      <c r="H413" s="802"/>
      <c r="I413" s="802"/>
      <c r="J413" s="802"/>
      <c r="K413" s="803"/>
      <c r="L413" s="818" t="s">
        <v>208</v>
      </c>
      <c r="M413" s="819"/>
      <c r="N413" s="819"/>
      <c r="O413" s="819"/>
      <c r="P413" s="819"/>
      <c r="Q413" s="819"/>
      <c r="R413" s="819"/>
      <c r="S413" s="819"/>
      <c r="T413" s="819"/>
      <c r="U413" s="819"/>
      <c r="V413" s="819"/>
      <c r="W413" s="820"/>
      <c r="X413" s="460"/>
      <c r="AH413" s="377"/>
    </row>
    <row r="414" spans="1:34" ht="14.25" customHeight="1">
      <c r="A414" s="814"/>
      <c r="B414" s="804"/>
      <c r="C414" s="805"/>
      <c r="D414" s="805"/>
      <c r="E414" s="805"/>
      <c r="F414" s="805"/>
      <c r="G414" s="805"/>
      <c r="H414" s="805"/>
      <c r="I414" s="805"/>
      <c r="J414" s="805"/>
      <c r="K414" s="806"/>
      <c r="L414" s="877">
        <v>0</v>
      </c>
      <c r="M414" s="878"/>
      <c r="N414" s="878"/>
      <c r="O414" s="879"/>
      <c r="P414" s="877">
        <v>30</v>
      </c>
      <c r="Q414" s="878"/>
      <c r="R414" s="878"/>
      <c r="S414" s="879"/>
      <c r="T414" s="821">
        <v>50</v>
      </c>
      <c r="U414" s="823"/>
      <c r="V414" s="823"/>
      <c r="W414" s="822"/>
      <c r="X414" s="460"/>
      <c r="AH414" s="377"/>
    </row>
    <row r="415" spans="1:34" ht="12.75" customHeight="1">
      <c r="A415" s="249" t="s">
        <v>246</v>
      </c>
      <c r="B415" s="772" t="s">
        <v>362</v>
      </c>
      <c r="C415" s="773"/>
      <c r="D415" s="773"/>
      <c r="E415" s="773"/>
      <c r="F415" s="773"/>
      <c r="G415" s="773"/>
      <c r="H415" s="773"/>
      <c r="I415" s="773"/>
      <c r="J415" s="773"/>
      <c r="K415" s="774"/>
      <c r="L415" s="880" t="s">
        <v>301</v>
      </c>
      <c r="M415" s="881"/>
      <c r="N415" s="881"/>
      <c r="O415" s="882"/>
      <c r="P415" s="781" t="s">
        <v>247</v>
      </c>
      <c r="Q415" s="782"/>
      <c r="R415" s="782"/>
      <c r="S415" s="783"/>
      <c r="T415" s="781" t="s">
        <v>248</v>
      </c>
      <c r="U415" s="782"/>
      <c r="V415" s="782"/>
      <c r="W415" s="783"/>
      <c r="X415" s="460"/>
      <c r="Y415" s="12"/>
      <c r="AA415" s="12"/>
      <c r="AB415" s="12"/>
      <c r="AC415" s="12"/>
      <c r="AH415" s="377"/>
    </row>
    <row r="416" spans="1:34" ht="9.75" customHeight="1">
      <c r="A416" s="277"/>
      <c r="B416" s="775"/>
      <c r="C416" s="776"/>
      <c r="D416" s="776"/>
      <c r="E416" s="776"/>
      <c r="F416" s="776"/>
      <c r="G416" s="776"/>
      <c r="H416" s="776"/>
      <c r="I416" s="776"/>
      <c r="J416" s="776"/>
      <c r="K416" s="777"/>
      <c r="L416" s="883"/>
      <c r="M416" s="884"/>
      <c r="N416" s="884"/>
      <c r="O416" s="885"/>
      <c r="P416" s="784"/>
      <c r="Q416" s="785"/>
      <c r="R416" s="785"/>
      <c r="S416" s="786"/>
      <c r="T416" s="784"/>
      <c r="U416" s="785"/>
      <c r="V416" s="785"/>
      <c r="W416" s="786"/>
      <c r="X416" s="460"/>
      <c r="Y416" s="12"/>
      <c r="AA416" s="12"/>
      <c r="AB416" s="12"/>
      <c r="AC416" s="12"/>
      <c r="AH416" s="377"/>
    </row>
    <row r="417" spans="1:34" ht="14.25" customHeight="1">
      <c r="A417" s="278"/>
      <c r="B417" s="874" t="s">
        <v>315</v>
      </c>
      <c r="C417" s="875"/>
      <c r="D417" s="875"/>
      <c r="E417" s="875"/>
      <c r="F417" s="875"/>
      <c r="G417" s="875"/>
      <c r="H417" s="875"/>
      <c r="I417" s="875"/>
      <c r="J417" s="875"/>
      <c r="K417" s="876"/>
      <c r="L417" s="883"/>
      <c r="M417" s="884"/>
      <c r="N417" s="884"/>
      <c r="O417" s="885"/>
      <c r="P417" s="784"/>
      <c r="Q417" s="785"/>
      <c r="R417" s="785"/>
      <c r="S417" s="786"/>
      <c r="T417" s="784"/>
      <c r="U417" s="785"/>
      <c r="V417" s="785"/>
      <c r="W417" s="786"/>
      <c r="X417" s="460"/>
      <c r="Y417" s="12"/>
      <c r="AA417" s="12"/>
      <c r="AB417" s="12"/>
      <c r="AC417" s="12"/>
      <c r="AH417" s="377"/>
    </row>
    <row r="418" spans="1:34" ht="12.75" customHeight="1">
      <c r="A418" s="277"/>
      <c r="B418" s="846" t="s">
        <v>307</v>
      </c>
      <c r="C418" s="847"/>
      <c r="D418" s="847"/>
      <c r="E418" s="847"/>
      <c r="F418" s="847"/>
      <c r="G418" s="847"/>
      <c r="H418" s="847"/>
      <c r="I418" s="847"/>
      <c r="J418" s="847"/>
      <c r="K418" s="848"/>
      <c r="L418" s="883"/>
      <c r="M418" s="884"/>
      <c r="N418" s="884"/>
      <c r="O418" s="885"/>
      <c r="P418" s="784"/>
      <c r="Q418" s="785"/>
      <c r="R418" s="785"/>
      <c r="S418" s="786"/>
      <c r="T418" s="784"/>
      <c r="U418" s="785"/>
      <c r="V418" s="785"/>
      <c r="W418" s="786"/>
      <c r="X418" s="460"/>
      <c r="Y418" s="12"/>
      <c r="AH418" s="377"/>
    </row>
    <row r="419" spans="1:34" ht="4.5" customHeight="1">
      <c r="A419" s="278"/>
      <c r="B419" s="846"/>
      <c r="C419" s="847"/>
      <c r="D419" s="847"/>
      <c r="E419" s="847"/>
      <c r="F419" s="847"/>
      <c r="G419" s="847"/>
      <c r="H419" s="847"/>
      <c r="I419" s="847"/>
      <c r="J419" s="847"/>
      <c r="K419" s="848"/>
      <c r="L419" s="1025"/>
      <c r="M419" s="1026"/>
      <c r="N419" s="1026"/>
      <c r="O419" s="1027"/>
      <c r="P419" s="787"/>
      <c r="Q419" s="788"/>
      <c r="R419" s="788"/>
      <c r="S419" s="789"/>
      <c r="T419" s="787"/>
      <c r="U419" s="788"/>
      <c r="V419" s="788"/>
      <c r="W419" s="789"/>
      <c r="X419" s="460"/>
      <c r="Y419" s="12"/>
      <c r="AH419" s="377"/>
    </row>
    <row r="420" spans="1:34" ht="12.75" customHeight="1">
      <c r="A420" s="298"/>
      <c r="B420" s="846"/>
      <c r="C420" s="847"/>
      <c r="D420" s="847"/>
      <c r="E420" s="847"/>
      <c r="F420" s="847"/>
      <c r="G420" s="847"/>
      <c r="H420" s="847"/>
      <c r="I420" s="847"/>
      <c r="J420" s="847"/>
      <c r="K420" s="848"/>
      <c r="L420" s="853">
        <f>IF(Y421=0,IF(FIO="","",0),"")</f>
      </c>
      <c r="M420" s="854"/>
      <c r="N420" s="854"/>
      <c r="O420" s="855"/>
      <c r="P420" s="791"/>
      <c r="Q420" s="791"/>
      <c r="R420" s="791"/>
      <c r="S420" s="791"/>
      <c r="T420" s="791"/>
      <c r="U420" s="791"/>
      <c r="V420" s="791"/>
      <c r="W420" s="791"/>
      <c r="X420" s="460"/>
      <c r="Z420" s="251" t="s">
        <v>210</v>
      </c>
      <c r="AA420" s="252" t="s">
        <v>278</v>
      </c>
      <c r="AE420" s="292" t="s">
        <v>3</v>
      </c>
      <c r="AF420" s="293" t="s">
        <v>2</v>
      </c>
      <c r="AH420" s="377"/>
    </row>
    <row r="421" spans="1:34" ht="12.75" customHeight="1">
      <c r="A421" s="299"/>
      <c r="B421" s="849"/>
      <c r="C421" s="850"/>
      <c r="D421" s="850"/>
      <c r="E421" s="850"/>
      <c r="F421" s="850"/>
      <c r="G421" s="850"/>
      <c r="H421" s="850"/>
      <c r="I421" s="850"/>
      <c r="J421" s="850"/>
      <c r="K421" s="851"/>
      <c r="L421" s="859"/>
      <c r="M421" s="860"/>
      <c r="N421" s="860"/>
      <c r="O421" s="861"/>
      <c r="P421" s="791"/>
      <c r="Q421" s="791"/>
      <c r="R421" s="791"/>
      <c r="S421" s="791"/>
      <c r="T421" s="791"/>
      <c r="U421" s="791"/>
      <c r="V421" s="791"/>
      <c r="W421" s="791"/>
      <c r="X421" s="460"/>
      <c r="Y421" s="267">
        <f>MAX(P420:W421)</f>
        <v>0</v>
      </c>
      <c r="Z421" s="253">
        <v>50</v>
      </c>
      <c r="AA421" s="270">
        <f>IF(z_kateg="высшая",AE421,AF421)</f>
        <v>0</v>
      </c>
      <c r="AE421" s="288">
        <v>0</v>
      </c>
      <c r="AF421" s="289">
        <v>0</v>
      </c>
      <c r="AH421" s="377"/>
    </row>
    <row r="422" spans="1:34" ht="12.75" hidden="1">
      <c r="A422" s="5"/>
      <c r="X422" s="460"/>
      <c r="AH422" s="377"/>
    </row>
    <row r="423" spans="1:45" ht="14.25" customHeight="1" hidden="1">
      <c r="A423" s="377"/>
      <c r="B423" s="378"/>
      <c r="C423" s="378"/>
      <c r="D423" s="378"/>
      <c r="E423" s="378"/>
      <c r="F423" s="378"/>
      <c r="G423" s="378"/>
      <c r="H423" s="378"/>
      <c r="I423" s="378"/>
      <c r="J423" s="378"/>
      <c r="K423" s="378"/>
      <c r="L423" s="378"/>
      <c r="M423" s="378"/>
      <c r="N423" s="378"/>
      <c r="O423" s="378"/>
      <c r="P423" s="378"/>
      <c r="Q423" s="378"/>
      <c r="R423" s="378"/>
      <c r="S423" s="378"/>
      <c r="T423" s="378"/>
      <c r="U423" s="378"/>
      <c r="V423" s="378"/>
      <c r="W423" s="378"/>
      <c r="X423" s="460"/>
      <c r="Y423" s="377"/>
      <c r="Z423" s="377"/>
      <c r="AA423" s="377"/>
      <c r="AB423" s="377"/>
      <c r="AC423" s="377"/>
      <c r="AD423" s="377"/>
      <c r="AE423" s="377"/>
      <c r="AF423" s="377"/>
      <c r="AH423" s="377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</row>
    <row r="424" spans="1:34" ht="12.75">
      <c r="A424" s="281"/>
      <c r="B424" s="12"/>
      <c r="C424" s="12"/>
      <c r="D424" s="12"/>
      <c r="X424" s="460"/>
      <c r="AA424" s="251" t="s">
        <v>279</v>
      </c>
      <c r="AB424" s="251" t="s">
        <v>210</v>
      </c>
      <c r="AC424" s="251" t="s">
        <v>278</v>
      </c>
      <c r="AD424" s="293" t="s">
        <v>3</v>
      </c>
      <c r="AE424" s="293" t="s">
        <v>2</v>
      </c>
      <c r="AF424" s="172" t="s">
        <v>280</v>
      </c>
      <c r="AH424" s="377"/>
    </row>
    <row r="425" spans="1:34" ht="13.5">
      <c r="A425" s="250" t="s">
        <v>193</v>
      </c>
      <c r="B425" s="1061" t="s">
        <v>269</v>
      </c>
      <c r="C425" s="1061"/>
      <c r="D425" s="1061"/>
      <c r="E425" s="1061"/>
      <c r="F425" s="1061"/>
      <c r="G425" s="1061"/>
      <c r="H425" s="1061"/>
      <c r="I425" s="1061"/>
      <c r="J425" s="1061"/>
      <c r="X425" s="460"/>
      <c r="Y425" s="295" t="str">
        <f>A425</f>
        <v>4.</v>
      </c>
      <c r="Z425" s="271" t="s">
        <v>308</v>
      </c>
      <c r="AA425" s="268">
        <f>IF(Z428="нет",0,SUM(Y426:Y442))</f>
        <v>0</v>
      </c>
      <c r="AB425" s="269">
        <f>SUM(Z426:Z442)</f>
        <v>250</v>
      </c>
      <c r="AC425" s="285">
        <f>IF(G56="высшая",AD425,AE425)</f>
        <v>0</v>
      </c>
      <c r="AD425" s="288">
        <v>130</v>
      </c>
      <c r="AE425" s="289">
        <v>0</v>
      </c>
      <c r="AF425" s="284" t="b">
        <f>итого_4&gt;=AC425</f>
        <v>1</v>
      </c>
      <c r="AH425" s="377"/>
    </row>
    <row r="426" spans="24:34" ht="6.75" customHeight="1">
      <c r="X426" s="460"/>
      <c r="AH426" s="377"/>
    </row>
    <row r="427" spans="1:34" ht="14.25" customHeight="1">
      <c r="A427" s="812" t="s">
        <v>205</v>
      </c>
      <c r="B427" s="971" t="s">
        <v>206</v>
      </c>
      <c r="C427" s="971"/>
      <c r="D427" s="971"/>
      <c r="E427" s="971"/>
      <c r="F427" s="971"/>
      <c r="G427" s="971"/>
      <c r="H427" s="798" t="s">
        <v>207</v>
      </c>
      <c r="I427" s="799"/>
      <c r="J427" s="799"/>
      <c r="K427" s="799"/>
      <c r="L427" s="799"/>
      <c r="M427" s="799"/>
      <c r="N427" s="799"/>
      <c r="O427" s="799"/>
      <c r="P427" s="799"/>
      <c r="Q427" s="799"/>
      <c r="R427" s="799"/>
      <c r="S427" s="799"/>
      <c r="T427" s="799"/>
      <c r="U427" s="799"/>
      <c r="V427" s="799"/>
      <c r="W427" s="800"/>
      <c r="X427" s="460"/>
      <c r="Z427" s="5" t="s">
        <v>351</v>
      </c>
      <c r="AD427" s="364">
        <v>560</v>
      </c>
      <c r="AE427" s="365" t="s">
        <v>447</v>
      </c>
      <c r="AH427" s="377"/>
    </row>
    <row r="428" spans="1:34" ht="13.5" customHeight="1">
      <c r="A428" s="814"/>
      <c r="B428" s="971"/>
      <c r="C428" s="971"/>
      <c r="D428" s="971"/>
      <c r="E428" s="971"/>
      <c r="F428" s="971"/>
      <c r="G428" s="971"/>
      <c r="H428" s="804"/>
      <c r="I428" s="805"/>
      <c r="J428" s="805"/>
      <c r="K428" s="805"/>
      <c r="L428" s="805"/>
      <c r="M428" s="805"/>
      <c r="N428" s="805"/>
      <c r="O428" s="805"/>
      <c r="P428" s="805"/>
      <c r="Q428" s="805"/>
      <c r="R428" s="805"/>
      <c r="S428" s="805"/>
      <c r="T428" s="805"/>
      <c r="U428" s="805"/>
      <c r="V428" s="805"/>
      <c r="W428" s="806"/>
      <c r="X428" s="460"/>
      <c r="Z428" s="266" t="str">
        <f>'общие сведения'!G104</f>
        <v>нет</v>
      </c>
      <c r="AH428" s="377"/>
    </row>
    <row r="429" spans="1:34" ht="13.5" customHeight="1">
      <c r="A429" s="901" t="s">
        <v>270</v>
      </c>
      <c r="B429" s="910" t="s">
        <v>352</v>
      </c>
      <c r="C429" s="910"/>
      <c r="D429" s="910"/>
      <c r="E429" s="910"/>
      <c r="F429" s="910"/>
      <c r="G429" s="910"/>
      <c r="H429" s="887">
        <v>0</v>
      </c>
      <c r="I429" s="887"/>
      <c r="J429" s="887"/>
      <c r="K429" s="887"/>
      <c r="L429" s="887">
        <f>AC430</f>
        <v>50</v>
      </c>
      <c r="M429" s="887"/>
      <c r="N429" s="887"/>
      <c r="O429" s="887"/>
      <c r="P429" s="887">
        <f>AD430</f>
        <v>70</v>
      </c>
      <c r="Q429" s="887"/>
      <c r="R429" s="887"/>
      <c r="S429" s="887"/>
      <c r="T429" s="887">
        <f>AE430</f>
        <v>90</v>
      </c>
      <c r="U429" s="887"/>
      <c r="V429" s="887"/>
      <c r="W429" s="887"/>
      <c r="X429" s="460"/>
      <c r="AH429" s="377"/>
    </row>
    <row r="430" spans="1:34" ht="13.5" customHeight="1">
      <c r="A430" s="901"/>
      <c r="B430" s="910"/>
      <c r="C430" s="910"/>
      <c r="D430" s="910"/>
      <c r="E430" s="910"/>
      <c r="F430" s="910"/>
      <c r="G430" s="910"/>
      <c r="H430" s="911" t="s">
        <v>353</v>
      </c>
      <c r="I430" s="912"/>
      <c r="J430" s="912"/>
      <c r="K430" s="913"/>
      <c r="L430" s="911" t="s">
        <v>354</v>
      </c>
      <c r="M430" s="912"/>
      <c r="N430" s="912"/>
      <c r="O430" s="913"/>
      <c r="P430" s="911" t="s">
        <v>355</v>
      </c>
      <c r="Q430" s="912"/>
      <c r="R430" s="912"/>
      <c r="S430" s="913"/>
      <c r="T430" s="911" t="s">
        <v>356</v>
      </c>
      <c r="U430" s="912"/>
      <c r="V430" s="912"/>
      <c r="W430" s="913"/>
      <c r="X430" s="460"/>
      <c r="Z430" s="251" t="s">
        <v>210</v>
      </c>
      <c r="AA430" s="252" t="s">
        <v>278</v>
      </c>
      <c r="AC430" s="251">
        <v>50</v>
      </c>
      <c r="AD430" s="251">
        <v>70</v>
      </c>
      <c r="AE430" s="251">
        <v>90</v>
      </c>
      <c r="AH430" s="377"/>
    </row>
    <row r="431" spans="1:34" ht="13.5" customHeight="1">
      <c r="A431" s="901"/>
      <c r="B431" s="910"/>
      <c r="C431" s="910"/>
      <c r="D431" s="910"/>
      <c r="E431" s="910"/>
      <c r="F431" s="910"/>
      <c r="G431" s="910"/>
      <c r="H431" s="853" t="str">
        <f>IF(Y431=0,IF(OR(FIO="",Z428="нет"),"-",0),"")</f>
        <v>-</v>
      </c>
      <c r="I431" s="854"/>
      <c r="J431" s="854"/>
      <c r="K431" s="855"/>
      <c r="L431" s="914"/>
      <c r="M431" s="914"/>
      <c r="N431" s="914"/>
      <c r="O431" s="914"/>
      <c r="P431" s="914"/>
      <c r="Q431" s="914"/>
      <c r="R431" s="914"/>
      <c r="S431" s="914"/>
      <c r="T431" s="914"/>
      <c r="U431" s="914"/>
      <c r="V431" s="914"/>
      <c r="W431" s="914"/>
      <c r="X431" s="460"/>
      <c r="Y431" s="267">
        <f>MAX(L431:W432)</f>
        <v>0</v>
      </c>
      <c r="Z431" s="253">
        <v>90</v>
      </c>
      <c r="AA431" s="270">
        <v>50</v>
      </c>
      <c r="AC431" s="190" t="str">
        <f>IF($Z$428="нет","-",AC430)</f>
        <v>-</v>
      </c>
      <c r="AD431" s="190" t="str">
        <f>IF($Z$428="нет","-",AD430)</f>
        <v>-</v>
      </c>
      <c r="AE431" s="190" t="str">
        <f>IF($Z$428="нет","-",AE430)</f>
        <v>-</v>
      </c>
      <c r="AH431" s="377"/>
    </row>
    <row r="432" spans="1:34" ht="13.5" customHeight="1">
      <c r="A432" s="901"/>
      <c r="B432" s="910"/>
      <c r="C432" s="910"/>
      <c r="D432" s="910"/>
      <c r="E432" s="910"/>
      <c r="F432" s="910"/>
      <c r="G432" s="910"/>
      <c r="H432" s="859"/>
      <c r="I432" s="860"/>
      <c r="J432" s="860"/>
      <c r="K432" s="861"/>
      <c r="L432" s="791"/>
      <c r="M432" s="791"/>
      <c r="N432" s="791"/>
      <c r="O432" s="791"/>
      <c r="P432" s="791"/>
      <c r="Q432" s="791"/>
      <c r="R432" s="791"/>
      <c r="S432" s="791"/>
      <c r="T432" s="791"/>
      <c r="U432" s="791"/>
      <c r="V432" s="791"/>
      <c r="W432" s="791"/>
      <c r="X432" s="460"/>
      <c r="AH432" s="377"/>
    </row>
    <row r="433" spans="1:34" ht="13.5" customHeight="1">
      <c r="A433" s="901" t="s">
        <v>357</v>
      </c>
      <c r="B433" s="910" t="s">
        <v>358</v>
      </c>
      <c r="C433" s="910"/>
      <c r="D433" s="910"/>
      <c r="E433" s="910"/>
      <c r="F433" s="910"/>
      <c r="G433" s="910"/>
      <c r="H433" s="887">
        <v>0</v>
      </c>
      <c r="I433" s="887"/>
      <c r="J433" s="887"/>
      <c r="K433" s="887"/>
      <c r="L433" s="887">
        <f>AC433</f>
        <v>40</v>
      </c>
      <c r="M433" s="887"/>
      <c r="N433" s="887"/>
      <c r="O433" s="887"/>
      <c r="P433" s="887">
        <f>AD433</f>
        <v>60</v>
      </c>
      <c r="Q433" s="887"/>
      <c r="R433" s="887"/>
      <c r="S433" s="887"/>
      <c r="T433" s="887">
        <f>AE433</f>
        <v>80</v>
      </c>
      <c r="U433" s="887"/>
      <c r="V433" s="887"/>
      <c r="W433" s="887"/>
      <c r="X433" s="460"/>
      <c r="AC433" s="251">
        <v>40</v>
      </c>
      <c r="AD433" s="251">
        <v>60</v>
      </c>
      <c r="AE433" s="251">
        <v>80</v>
      </c>
      <c r="AH433" s="377"/>
    </row>
    <row r="434" spans="1:34" ht="13.5" customHeight="1">
      <c r="A434" s="901"/>
      <c r="B434" s="910"/>
      <c r="C434" s="910"/>
      <c r="D434" s="910"/>
      <c r="E434" s="910"/>
      <c r="F434" s="910"/>
      <c r="G434" s="910"/>
      <c r="H434" s="911" t="s">
        <v>353</v>
      </c>
      <c r="I434" s="912"/>
      <c r="J434" s="912"/>
      <c r="K434" s="913"/>
      <c r="L434" s="911" t="s">
        <v>354</v>
      </c>
      <c r="M434" s="912"/>
      <c r="N434" s="912"/>
      <c r="O434" s="913"/>
      <c r="P434" s="911" t="s">
        <v>355</v>
      </c>
      <c r="Q434" s="912"/>
      <c r="R434" s="912"/>
      <c r="S434" s="913"/>
      <c r="T434" s="911" t="s">
        <v>356</v>
      </c>
      <c r="U434" s="912"/>
      <c r="V434" s="912"/>
      <c r="W434" s="913"/>
      <c r="X434" s="460"/>
      <c r="AC434" s="190" t="str">
        <f>IF($Z$428="нет","-",AC433)</f>
        <v>-</v>
      </c>
      <c r="AD434" s="190" t="str">
        <f>IF($Z$428="нет","-",AD433)</f>
        <v>-</v>
      </c>
      <c r="AE434" s="190" t="str">
        <f>IF($Z$428="нет","-",AE433)</f>
        <v>-</v>
      </c>
      <c r="AH434" s="377"/>
    </row>
    <row r="435" spans="1:34" ht="12.75" customHeight="1">
      <c r="A435" s="901"/>
      <c r="B435" s="910"/>
      <c r="C435" s="910"/>
      <c r="D435" s="910"/>
      <c r="E435" s="910"/>
      <c r="F435" s="910"/>
      <c r="G435" s="910"/>
      <c r="H435" s="853" t="str">
        <f>IF(Y435=0,IF(OR(FIO="",Z428="нет"),"-",0),"")</f>
        <v>-</v>
      </c>
      <c r="I435" s="854"/>
      <c r="J435" s="854"/>
      <c r="K435" s="855"/>
      <c r="L435" s="914"/>
      <c r="M435" s="914"/>
      <c r="N435" s="914"/>
      <c r="O435" s="914"/>
      <c r="P435" s="914"/>
      <c r="Q435" s="914"/>
      <c r="R435" s="914"/>
      <c r="S435" s="914"/>
      <c r="T435" s="914"/>
      <c r="U435" s="914"/>
      <c r="V435" s="914"/>
      <c r="W435" s="914"/>
      <c r="X435" s="460"/>
      <c r="Y435" s="267">
        <f>MAX(L435:W436)</f>
        <v>0</v>
      </c>
      <c r="Z435" s="253">
        <v>80</v>
      </c>
      <c r="AA435" s="270">
        <v>40</v>
      </c>
      <c r="AH435" s="377"/>
    </row>
    <row r="436" spans="1:34" ht="12.75" customHeight="1">
      <c r="A436" s="901"/>
      <c r="B436" s="910"/>
      <c r="C436" s="910"/>
      <c r="D436" s="910"/>
      <c r="E436" s="910"/>
      <c r="F436" s="910"/>
      <c r="G436" s="910"/>
      <c r="H436" s="859"/>
      <c r="I436" s="860"/>
      <c r="J436" s="860"/>
      <c r="K436" s="861"/>
      <c r="L436" s="791"/>
      <c r="M436" s="791"/>
      <c r="N436" s="791"/>
      <c r="O436" s="791"/>
      <c r="P436" s="791"/>
      <c r="Q436" s="791"/>
      <c r="R436" s="791"/>
      <c r="S436" s="791"/>
      <c r="T436" s="791"/>
      <c r="U436" s="791"/>
      <c r="V436" s="791"/>
      <c r="W436" s="791"/>
      <c r="X436" s="460"/>
      <c r="AH436" s="377"/>
    </row>
    <row r="437" spans="1:34" ht="13.5" customHeight="1">
      <c r="A437" s="901" t="s">
        <v>359</v>
      </c>
      <c r="B437" s="910" t="s">
        <v>360</v>
      </c>
      <c r="C437" s="910"/>
      <c r="D437" s="910"/>
      <c r="E437" s="910"/>
      <c r="F437" s="910"/>
      <c r="G437" s="910"/>
      <c r="H437" s="887">
        <v>0</v>
      </c>
      <c r="I437" s="887"/>
      <c r="J437" s="887"/>
      <c r="K437" s="887"/>
      <c r="L437" s="887">
        <v>40</v>
      </c>
      <c r="M437" s="887"/>
      <c r="N437" s="887"/>
      <c r="O437" s="887"/>
      <c r="P437" s="887">
        <v>60</v>
      </c>
      <c r="Q437" s="887"/>
      <c r="R437" s="887"/>
      <c r="S437" s="887"/>
      <c r="T437" s="887">
        <v>80</v>
      </c>
      <c r="U437" s="887"/>
      <c r="V437" s="887"/>
      <c r="W437" s="887"/>
      <c r="X437" s="460"/>
      <c r="AH437" s="377"/>
    </row>
    <row r="438" spans="1:34" ht="13.5" customHeight="1">
      <c r="A438" s="901"/>
      <c r="B438" s="910"/>
      <c r="C438" s="910"/>
      <c r="D438" s="910"/>
      <c r="E438" s="910"/>
      <c r="F438" s="910"/>
      <c r="G438" s="910"/>
      <c r="H438" s="911" t="s">
        <v>353</v>
      </c>
      <c r="I438" s="912"/>
      <c r="J438" s="912"/>
      <c r="K438" s="913"/>
      <c r="L438" s="911" t="s">
        <v>354</v>
      </c>
      <c r="M438" s="912"/>
      <c r="N438" s="912"/>
      <c r="O438" s="913"/>
      <c r="P438" s="911" t="s">
        <v>355</v>
      </c>
      <c r="Q438" s="912"/>
      <c r="R438" s="912"/>
      <c r="S438" s="913"/>
      <c r="T438" s="911" t="s">
        <v>356</v>
      </c>
      <c r="U438" s="912"/>
      <c r="V438" s="912"/>
      <c r="W438" s="913"/>
      <c r="X438" s="460"/>
      <c r="AH438" s="377"/>
    </row>
    <row r="439" spans="1:34" ht="12.75" customHeight="1">
      <c r="A439" s="901"/>
      <c r="B439" s="910"/>
      <c r="C439" s="910"/>
      <c r="D439" s="910"/>
      <c r="E439" s="910"/>
      <c r="F439" s="910"/>
      <c r="G439" s="910"/>
      <c r="H439" s="853" t="str">
        <f>IF(Y439=0,IF(OR(FIO="",Z428="нет"),"-",0),"")</f>
        <v>-</v>
      </c>
      <c r="I439" s="854"/>
      <c r="J439" s="854"/>
      <c r="K439" s="855"/>
      <c r="L439" s="914"/>
      <c r="M439" s="914"/>
      <c r="N439" s="914"/>
      <c r="O439" s="914"/>
      <c r="P439" s="914"/>
      <c r="Q439" s="914"/>
      <c r="R439" s="914"/>
      <c r="S439" s="914"/>
      <c r="T439" s="914"/>
      <c r="U439" s="914"/>
      <c r="V439" s="914"/>
      <c r="W439" s="914"/>
      <c r="X439" s="460"/>
      <c r="Y439" s="267">
        <f>MAX(L439:W440)</f>
        <v>0</v>
      </c>
      <c r="Z439" s="253">
        <v>80</v>
      </c>
      <c r="AA439" s="270">
        <v>40</v>
      </c>
      <c r="AH439" s="377"/>
    </row>
    <row r="440" spans="1:34" ht="12.75" customHeight="1">
      <c r="A440" s="901"/>
      <c r="B440" s="910"/>
      <c r="C440" s="910"/>
      <c r="D440" s="910"/>
      <c r="E440" s="910"/>
      <c r="F440" s="910"/>
      <c r="G440" s="910"/>
      <c r="H440" s="859"/>
      <c r="I440" s="860"/>
      <c r="J440" s="860"/>
      <c r="K440" s="861"/>
      <c r="L440" s="791"/>
      <c r="M440" s="791"/>
      <c r="N440" s="791"/>
      <c r="O440" s="791"/>
      <c r="P440" s="791"/>
      <c r="Q440" s="791"/>
      <c r="R440" s="791"/>
      <c r="S440" s="791"/>
      <c r="T440" s="791"/>
      <c r="U440" s="791"/>
      <c r="V440" s="791"/>
      <c r="W440" s="791"/>
      <c r="X440" s="460"/>
      <c r="AH440" s="377"/>
    </row>
    <row r="441" spans="24:34" ht="12.75">
      <c r="X441" s="460"/>
      <c r="AH441" s="377"/>
    </row>
    <row r="442" spans="24:34" ht="12.75">
      <c r="X442" s="460"/>
      <c r="AH442" s="377"/>
    </row>
    <row r="443" spans="2:34" ht="14.25" customHeight="1">
      <c r="B443" s="260" t="s">
        <v>271</v>
      </c>
      <c r="X443" s="460"/>
      <c r="Y443" s="166"/>
      <c r="Z443" s="166"/>
      <c r="AA443" s="308" t="s">
        <v>445</v>
      </c>
      <c r="AB443" s="268">
        <f>итого_1+итого_2+итого_3</f>
        <v>0</v>
      </c>
      <c r="AC443" s="364">
        <v>720</v>
      </c>
      <c r="AE443" s="364">
        <v>540</v>
      </c>
      <c r="AF443" s="365" t="s">
        <v>316</v>
      </c>
      <c r="AH443" s="377"/>
    </row>
    <row r="444" spans="2:34" ht="4.5" customHeight="1">
      <c r="B444" s="226"/>
      <c r="X444" s="460"/>
      <c r="AH444" s="377"/>
    </row>
    <row r="445" spans="2:34" ht="14.25" customHeight="1">
      <c r="B445" s="948" t="s">
        <v>249</v>
      </c>
      <c r="C445" s="949"/>
      <c r="D445" s="949"/>
      <c r="E445" s="949"/>
      <c r="F445" s="949"/>
      <c r="G445" s="950"/>
      <c r="H445" s="948" t="s">
        <v>250</v>
      </c>
      <c r="I445" s="949"/>
      <c r="J445" s="949"/>
      <c r="K445" s="949"/>
      <c r="L445" s="949"/>
      <c r="M445" s="949"/>
      <c r="N445" s="949"/>
      <c r="O445" s="949"/>
      <c r="P445" s="949"/>
      <c r="Q445" s="949"/>
      <c r="R445" s="949"/>
      <c r="S445" s="950"/>
      <c r="X445" s="460"/>
      <c r="AA445" s="363" t="s">
        <v>446</v>
      </c>
      <c r="AH445" s="377"/>
    </row>
    <row r="446" spans="1:34" ht="14.25" customHeight="1">
      <c r="A446" s="5"/>
      <c r="B446" s="1047" t="s">
        <v>251</v>
      </c>
      <c r="C446" s="1048"/>
      <c r="D446" s="1048"/>
      <c r="E446" s="1048"/>
      <c r="F446" s="1048"/>
      <c r="G446" s="1049"/>
      <c r="H446" s="1063">
        <f>порог_П</f>
        <v>160</v>
      </c>
      <c r="I446" s="1064"/>
      <c r="J446" s="1064"/>
      <c r="K446" s="1064"/>
      <c r="L446" s="1064"/>
      <c r="M446" s="1064"/>
      <c r="N446" s="1064"/>
      <c r="O446" s="1064"/>
      <c r="P446" s="1064"/>
      <c r="Q446" s="1064"/>
      <c r="R446" s="1064"/>
      <c r="S446" s="1065"/>
      <c r="X446" s="460"/>
      <c r="AA446" s="312">
        <f>'общие сведения'!M19</f>
        <v>210</v>
      </c>
      <c r="AB446" s="312">
        <f>'общие сведения'!M20</f>
        <v>270</v>
      </c>
      <c r="AC446" s="5" t="str">
        <f>AA446&amp;" / "&amp;AB446&amp;" *"</f>
        <v>210 / 270 *</v>
      </c>
      <c r="AD446" s="312">
        <f>порог_П</f>
        <v>160</v>
      </c>
      <c r="AE446" s="642" t="s">
        <v>661</v>
      </c>
      <c r="AH446" s="377"/>
    </row>
    <row r="447" spans="1:34" ht="14.25" customHeight="1">
      <c r="A447" s="5"/>
      <c r="B447" s="1047" t="s">
        <v>252</v>
      </c>
      <c r="C447" s="1048"/>
      <c r="D447" s="1048"/>
      <c r="E447" s="1048"/>
      <c r="F447" s="1048"/>
      <c r="G447" s="1049"/>
      <c r="H447" s="1063">
        <f>порог_В</f>
        <v>290</v>
      </c>
      <c r="I447" s="1064"/>
      <c r="J447" s="1064"/>
      <c r="K447" s="1064"/>
      <c r="L447" s="1064"/>
      <c r="M447" s="1064"/>
      <c r="N447" s="1064"/>
      <c r="O447" s="1064"/>
      <c r="P447" s="1064"/>
      <c r="Q447" s="1064"/>
      <c r="R447" s="1064"/>
      <c r="S447" s="1065"/>
      <c r="X447" s="460"/>
      <c r="Y447" s="336">
        <f>IF(G56="первая","первой",IF(G56="высшая","высшей",""))</f>
      </c>
      <c r="AA447" s="312">
        <f>'общие сведения'!N19</f>
        <v>450</v>
      </c>
      <c r="AB447" s="312">
        <f>'общие сведения'!N20</f>
        <v>510</v>
      </c>
      <c r="AC447" s="5" t="str">
        <f>AA447&amp;" / "&amp;AB447&amp;" *"</f>
        <v>450 / 510 *</v>
      </c>
      <c r="AD447" s="312">
        <f>порог_В</f>
        <v>290</v>
      </c>
      <c r="AE447" s="642" t="s">
        <v>662</v>
      </c>
      <c r="AH447" s="377"/>
    </row>
    <row r="448" spans="1:34" ht="12.75" customHeight="1">
      <c r="A448" s="330"/>
      <c r="B448" s="330"/>
      <c r="C448" s="330"/>
      <c r="D448" s="330"/>
      <c r="E448" s="330"/>
      <c r="F448" s="330"/>
      <c r="G448" s="330"/>
      <c r="H448" s="330"/>
      <c r="I448" s="309"/>
      <c r="J448" s="309"/>
      <c r="L448" s="332"/>
      <c r="M448" s="332"/>
      <c r="N448" s="331"/>
      <c r="P448" s="332"/>
      <c r="Q448" s="331"/>
      <c r="R448" s="331"/>
      <c r="S448" s="12"/>
      <c r="X448" s="460"/>
      <c r="AA448" s="312"/>
      <c r="AH448" s="377"/>
    </row>
    <row r="449" spans="1:34" ht="12.75" customHeight="1">
      <c r="A449" s="330"/>
      <c r="B449" s="260" t="s">
        <v>275</v>
      </c>
      <c r="C449" s="330"/>
      <c r="D449" s="330"/>
      <c r="E449" s="330"/>
      <c r="F449" s="330"/>
      <c r="G449" s="330"/>
      <c r="H449" s="330"/>
      <c r="I449" s="309"/>
      <c r="J449" s="309"/>
      <c r="K449" s="332"/>
      <c r="L449" s="332"/>
      <c r="M449" s="332"/>
      <c r="N449" s="331"/>
      <c r="O449" s="332"/>
      <c r="P449" s="1050">
        <f>IF(FIO="","",Всего)</f>
      </c>
      <c r="Q449" s="1050"/>
      <c r="R449" s="328"/>
      <c r="S449" s="260" t="s">
        <v>253</v>
      </c>
      <c r="X449" s="460"/>
      <c r="AH449" s="377"/>
    </row>
    <row r="450" spans="24:34" ht="12.75">
      <c r="X450" s="460"/>
      <c r="AH450" s="377"/>
    </row>
    <row r="451" spans="1:34" ht="13.5">
      <c r="A451" s="201" t="s">
        <v>194</v>
      </c>
      <c r="B451" s="333"/>
      <c r="C451" s="333"/>
      <c r="D451" s="333"/>
      <c r="E451" s="333"/>
      <c r="F451" s="334"/>
      <c r="G451" s="334"/>
      <c r="H451" s="334"/>
      <c r="I451" s="334"/>
      <c r="J451" s="334"/>
      <c r="K451" s="239"/>
      <c r="L451" s="239" t="str">
        <f>Y451&amp;Y453</f>
        <v>старшего вожатого</v>
      </c>
      <c r="M451" s="214"/>
      <c r="N451" s="214"/>
      <c r="O451" s="334"/>
      <c r="P451" s="334"/>
      <c r="Q451" s="334"/>
      <c r="R451" s="334"/>
      <c r="S451" s="334"/>
      <c r="U451" s="335"/>
      <c r="V451" s="335"/>
      <c r="W451" s="404" t="s">
        <v>578</v>
      </c>
      <c r="X451" s="460"/>
      <c r="Y451" s="408" t="str">
        <f>IF(AND(AA35&lt;31,Y36=1),Y35,AE35)</f>
        <v>старшего вожатого</v>
      </c>
      <c r="AH451" s="377"/>
    </row>
    <row r="452" spans="1:34" ht="9" customHeight="1">
      <c r="A452" s="201"/>
      <c r="B452" s="333"/>
      <c r="C452" s="333"/>
      <c r="D452" s="333"/>
      <c r="E452" s="333"/>
      <c r="F452" s="833" t="s">
        <v>518</v>
      </c>
      <c r="G452" s="833"/>
      <c r="H452" s="833"/>
      <c r="I452" s="833"/>
      <c r="J452" s="833"/>
      <c r="K452" s="833"/>
      <c r="L452" s="833"/>
      <c r="M452" s="833"/>
      <c r="N452" s="833"/>
      <c r="O452" s="833"/>
      <c r="P452" s="833"/>
      <c r="Q452" s="833"/>
      <c r="R452" s="833"/>
      <c r="S452" s="833"/>
      <c r="U452" s="335"/>
      <c r="V452" s="335"/>
      <c r="W452" s="404"/>
      <c r="X452" s="377"/>
      <c r="Y452" s="408"/>
      <c r="AH452" s="377"/>
    </row>
    <row r="453" spans="1:34" ht="13.5">
      <c r="A453" s="201" t="s">
        <v>577</v>
      </c>
      <c r="B453" s="333"/>
      <c r="C453" s="333"/>
      <c r="D453" s="333"/>
      <c r="E453" s="333"/>
      <c r="F453" s="333"/>
      <c r="G453" s="139"/>
      <c r="H453" s="472">
        <f>IF(OR(Всего="",FIO="",G56=""),"",Y447)</f>
      </c>
      <c r="I453" s="473"/>
      <c r="J453" s="473"/>
      <c r="K453" s="139"/>
      <c r="L453" s="202" t="s">
        <v>195</v>
      </c>
      <c r="M453" s="333"/>
      <c r="N453" s="333"/>
      <c r="O453" s="333"/>
      <c r="P453" s="333"/>
      <c r="Q453" s="333"/>
      <c r="R453" s="333"/>
      <c r="S453" s="333"/>
      <c r="T453" s="333"/>
      <c r="U453" s="333"/>
      <c r="V453" s="333"/>
      <c r="W453" s="333"/>
      <c r="X453" s="460"/>
      <c r="Y453" s="408">
        <f>Z82</f>
      </c>
      <c r="AH453" s="377"/>
    </row>
    <row r="454" spans="24:34" ht="12.75">
      <c r="X454" s="460"/>
      <c r="AH454" s="377"/>
    </row>
    <row r="455" spans="1:34" ht="13.5">
      <c r="A455" s="639" t="s">
        <v>166</v>
      </c>
      <c r="X455" s="460"/>
      <c r="AH455" s="377"/>
    </row>
    <row r="456" spans="1:34" ht="3" customHeight="1">
      <c r="A456" s="312"/>
      <c r="B456" s="264"/>
      <c r="C456" s="312"/>
      <c r="D456" s="264"/>
      <c r="E456" s="264"/>
      <c r="F456" s="264"/>
      <c r="G456" s="264"/>
      <c r="H456" s="264"/>
      <c r="I456" s="264"/>
      <c r="J456" s="264"/>
      <c r="K456" s="264"/>
      <c r="L456" s="264"/>
      <c r="M456" s="264"/>
      <c r="N456" s="264"/>
      <c r="O456" s="264"/>
      <c r="P456" s="264"/>
      <c r="Q456" s="264"/>
      <c r="R456" s="264"/>
      <c r="S456" s="264"/>
      <c r="T456" s="264"/>
      <c r="U456" s="264"/>
      <c r="V456" s="264"/>
      <c r="W456" s="264"/>
      <c r="X456" s="460"/>
      <c r="AH456" s="377"/>
    </row>
    <row r="457" spans="1:34" ht="15" customHeight="1">
      <c r="A457" s="996">
        <f>D87</f>
      </c>
      <c r="B457" s="996"/>
      <c r="C457" s="996"/>
      <c r="D457" s="996"/>
      <c r="E457" s="996"/>
      <c r="F457" s="996"/>
      <c r="G457" s="996"/>
      <c r="H457" s="996"/>
      <c r="I457" s="996"/>
      <c r="J457" s="996"/>
      <c r="K457" s="996"/>
      <c r="L457" s="996"/>
      <c r="M457" s="996"/>
      <c r="N457" s="996"/>
      <c r="O457" s="996"/>
      <c r="P457" s="996"/>
      <c r="Q457" s="996"/>
      <c r="R457" s="996"/>
      <c r="S457" s="996"/>
      <c r="T457" s="996"/>
      <c r="U457" s="996"/>
      <c r="V457" s="996"/>
      <c r="W457" s="996"/>
      <c r="X457" s="460"/>
      <c r="Y457" s="995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57" s="995"/>
      <c r="AA457" s="995"/>
      <c r="AB457" s="995"/>
      <c r="AC457" s="995"/>
      <c r="AD457" s="995"/>
      <c r="AE457" s="995"/>
      <c r="AH457" s="377"/>
    </row>
    <row r="458" spans="1:34" ht="15" customHeight="1">
      <c r="A458" s="996"/>
      <c r="B458" s="996"/>
      <c r="C458" s="996"/>
      <c r="D458" s="996"/>
      <c r="E458" s="996"/>
      <c r="F458" s="996"/>
      <c r="G458" s="996"/>
      <c r="H458" s="996"/>
      <c r="I458" s="996"/>
      <c r="J458" s="996"/>
      <c r="K458" s="996"/>
      <c r="L458" s="996"/>
      <c r="M458" s="996"/>
      <c r="N458" s="996"/>
      <c r="O458" s="996"/>
      <c r="P458" s="996"/>
      <c r="Q458" s="996"/>
      <c r="R458" s="996"/>
      <c r="S458" s="996"/>
      <c r="T458" s="996"/>
      <c r="U458" s="996"/>
      <c r="V458" s="996"/>
      <c r="W458" s="996"/>
      <c r="X458" s="460"/>
      <c r="Y458" s="995"/>
      <c r="Z458" s="995"/>
      <c r="AA458" s="995"/>
      <c r="AB458" s="995"/>
      <c r="AC458" s="995"/>
      <c r="AD458" s="995"/>
      <c r="AE458" s="995"/>
      <c r="AF458" s="300"/>
      <c r="AG458" s="300"/>
      <c r="AH458" s="377"/>
    </row>
    <row r="459" spans="1:34" ht="15" customHeight="1">
      <c r="A459" s="996"/>
      <c r="B459" s="996"/>
      <c r="C459" s="996"/>
      <c r="D459" s="996"/>
      <c r="E459" s="996"/>
      <c r="F459" s="996"/>
      <c r="G459" s="996"/>
      <c r="H459" s="996"/>
      <c r="I459" s="996"/>
      <c r="J459" s="996"/>
      <c r="K459" s="996"/>
      <c r="L459" s="996"/>
      <c r="M459" s="996"/>
      <c r="N459" s="996"/>
      <c r="O459" s="996"/>
      <c r="P459" s="996"/>
      <c r="Q459" s="996"/>
      <c r="R459" s="996"/>
      <c r="S459" s="996"/>
      <c r="T459" s="996"/>
      <c r="U459" s="996"/>
      <c r="V459" s="996"/>
      <c r="W459" s="996"/>
      <c r="X459" s="460"/>
      <c r="Y459" s="995"/>
      <c r="Z459" s="995"/>
      <c r="AA459" s="995"/>
      <c r="AB459" s="995"/>
      <c r="AC459" s="995"/>
      <c r="AD459" s="995"/>
      <c r="AE459" s="995"/>
      <c r="AF459" s="300"/>
      <c r="AG459" s="300"/>
      <c r="AH459" s="377"/>
    </row>
    <row r="460" spans="1:34" ht="12.75" customHeight="1">
      <c r="A460" s="996"/>
      <c r="B460" s="996"/>
      <c r="C460" s="996"/>
      <c r="D460" s="996"/>
      <c r="E460" s="996"/>
      <c r="F460" s="996"/>
      <c r="G460" s="996"/>
      <c r="H460" s="996"/>
      <c r="I460" s="996"/>
      <c r="J460" s="996"/>
      <c r="K460" s="996"/>
      <c r="L460" s="996"/>
      <c r="M460" s="996"/>
      <c r="N460" s="996"/>
      <c r="O460" s="996"/>
      <c r="P460" s="996"/>
      <c r="Q460" s="996"/>
      <c r="R460" s="996"/>
      <c r="S460" s="996"/>
      <c r="T460" s="996"/>
      <c r="U460" s="996"/>
      <c r="V460" s="996"/>
      <c r="W460" s="996"/>
      <c r="X460" s="460"/>
      <c r="Y460" s="995"/>
      <c r="Z460" s="995"/>
      <c r="AA460" s="995"/>
      <c r="AB460" s="995"/>
      <c r="AC460" s="995"/>
      <c r="AD460" s="995"/>
      <c r="AE460" s="995"/>
      <c r="AF460" s="300"/>
      <c r="AG460" s="300"/>
      <c r="AH460" s="377"/>
    </row>
    <row r="461" spans="1:123" ht="15">
      <c r="A461" s="264"/>
      <c r="B461" s="264"/>
      <c r="C461" s="264"/>
      <c r="D461" s="264"/>
      <c r="E461" s="264"/>
      <c r="F461" s="264"/>
      <c r="G461" s="264"/>
      <c r="H461" s="264"/>
      <c r="I461" s="264"/>
      <c r="J461" s="264"/>
      <c r="K461" s="264"/>
      <c r="L461" s="264"/>
      <c r="M461" s="264"/>
      <c r="N461" s="264"/>
      <c r="O461" s="264"/>
      <c r="P461" s="264"/>
      <c r="Q461" s="264"/>
      <c r="R461" s="264"/>
      <c r="S461" s="264"/>
      <c r="T461" s="264"/>
      <c r="U461" s="264"/>
      <c r="V461" s="264"/>
      <c r="W461" s="264"/>
      <c r="X461" s="460"/>
      <c r="Y461" s="300"/>
      <c r="Z461" s="300"/>
      <c r="AA461" s="300"/>
      <c r="AB461" s="300"/>
      <c r="AC461" s="300"/>
      <c r="AD461" s="300"/>
      <c r="AE461" s="300"/>
      <c r="AF461" s="300"/>
      <c r="AG461" s="300"/>
      <c r="AH461" s="377"/>
      <c r="AI461" s="300"/>
      <c r="AJ461" s="300"/>
      <c r="AK461" s="300"/>
      <c r="AL461" s="300"/>
      <c r="AM461" s="300"/>
      <c r="AQ461" s="300"/>
      <c r="AR461" s="300"/>
      <c r="AS461" s="300"/>
      <c r="AT461" s="300"/>
      <c r="AU461" s="300"/>
      <c r="AV461" s="300"/>
      <c r="BD461" s="300"/>
      <c r="BE461" s="300"/>
      <c r="BF461" s="300"/>
      <c r="BG461" s="300"/>
      <c r="BH461" s="300"/>
      <c r="BI461" s="300"/>
      <c r="BJ461" s="300"/>
      <c r="BK461" s="300"/>
      <c r="BS461" s="300"/>
      <c r="BT461" s="300"/>
      <c r="BU461" s="300"/>
      <c r="BV461" s="300"/>
      <c r="BW461" s="300"/>
      <c r="BX461" s="300"/>
      <c r="BY461" s="300"/>
      <c r="BZ461" s="300"/>
      <c r="CH461" s="300"/>
      <c r="CI461" s="300"/>
      <c r="CJ461" s="300"/>
      <c r="CK461" s="300"/>
      <c r="CL461" s="300"/>
      <c r="CM461" s="300"/>
      <c r="CN461" s="300"/>
      <c r="CO461" s="300"/>
      <c r="CW461" s="300"/>
      <c r="CX461" s="300"/>
      <c r="CY461" s="300"/>
      <c r="CZ461" s="300"/>
      <c r="DA461" s="300"/>
      <c r="DB461" s="300"/>
      <c r="DC461" s="300"/>
      <c r="DD461" s="300"/>
      <c r="DL461" s="300"/>
      <c r="DM461" s="300"/>
      <c r="DN461" s="300"/>
      <c r="DO461" s="300"/>
      <c r="DP461" s="300"/>
      <c r="DQ461" s="300"/>
      <c r="DR461" s="300"/>
      <c r="DS461" s="300"/>
    </row>
    <row r="462" spans="1:123" ht="6" customHeight="1" hidden="1">
      <c r="A462" s="388"/>
      <c r="B462" s="388"/>
      <c r="C462" s="388"/>
      <c r="D462" s="388"/>
      <c r="E462" s="264"/>
      <c r="F462" s="264"/>
      <c r="G462" s="264"/>
      <c r="H462" s="264"/>
      <c r="I462" s="264"/>
      <c r="J462" s="264"/>
      <c r="K462" s="264"/>
      <c r="L462" s="264"/>
      <c r="M462" s="264"/>
      <c r="N462" s="264"/>
      <c r="O462" s="264"/>
      <c r="P462" s="264"/>
      <c r="Q462" s="264"/>
      <c r="R462" s="264"/>
      <c r="S462" s="264"/>
      <c r="T462" s="264"/>
      <c r="U462" s="264"/>
      <c r="V462" s="264"/>
      <c r="W462" s="264"/>
      <c r="X462" s="460"/>
      <c r="Y462" s="300"/>
      <c r="Z462" s="300"/>
      <c r="AA462" s="300"/>
      <c r="AB462" s="300"/>
      <c r="AC462" s="300"/>
      <c r="AD462" s="300"/>
      <c r="AE462" s="300"/>
      <c r="AF462" s="300"/>
      <c r="AG462" s="300"/>
      <c r="AH462" s="377"/>
      <c r="AI462" s="300"/>
      <c r="AJ462" s="300"/>
      <c r="AK462" s="300"/>
      <c r="AL462" s="300"/>
      <c r="AM462" s="300"/>
      <c r="AQ462" s="300"/>
      <c r="AR462" s="300"/>
      <c r="AS462" s="300"/>
      <c r="AT462" s="300"/>
      <c r="AU462" s="300"/>
      <c r="AV462" s="300"/>
      <c r="BD462" s="300"/>
      <c r="BE462" s="300"/>
      <c r="BF462" s="300"/>
      <c r="BG462" s="300"/>
      <c r="BH462" s="300"/>
      <c r="BI462" s="300"/>
      <c r="BJ462" s="300"/>
      <c r="BK462" s="300"/>
      <c r="BS462" s="300"/>
      <c r="BT462" s="300"/>
      <c r="BU462" s="300"/>
      <c r="BV462" s="300"/>
      <c r="BW462" s="300"/>
      <c r="BX462" s="300"/>
      <c r="BY462" s="300"/>
      <c r="BZ462" s="300"/>
      <c r="CH462" s="300"/>
      <c r="CI462" s="300"/>
      <c r="CJ462" s="300"/>
      <c r="CK462" s="300"/>
      <c r="CL462" s="300"/>
      <c r="CM462" s="300"/>
      <c r="CN462" s="300"/>
      <c r="CO462" s="300"/>
      <c r="CW462" s="300"/>
      <c r="CX462" s="300"/>
      <c r="CY462" s="300"/>
      <c r="CZ462" s="300"/>
      <c r="DA462" s="300"/>
      <c r="DB462" s="300"/>
      <c r="DC462" s="300"/>
      <c r="DD462" s="300"/>
      <c r="DL462" s="300"/>
      <c r="DM462" s="300"/>
      <c r="DN462" s="300"/>
      <c r="DO462" s="300"/>
      <c r="DP462" s="300"/>
      <c r="DQ462" s="300"/>
      <c r="DR462" s="300"/>
      <c r="DS462" s="300"/>
    </row>
    <row r="463" spans="1:123" ht="15" customHeight="1" hidden="1">
      <c r="A463" s="387" t="s">
        <v>211</v>
      </c>
      <c r="B463" s="1062"/>
      <c r="C463" s="1062"/>
      <c r="D463" s="1062"/>
      <c r="E463" s="1062"/>
      <c r="F463" s="1062"/>
      <c r="G463" s="1062"/>
      <c r="H463" s="1062"/>
      <c r="I463" s="1062"/>
      <c r="J463" s="1062"/>
      <c r="K463" s="1062"/>
      <c r="L463" s="1062"/>
      <c r="M463" s="1062"/>
      <c r="N463" s="1062"/>
      <c r="O463" s="1062"/>
      <c r="P463" s="1062"/>
      <c r="Q463" s="1062"/>
      <c r="R463" s="1062"/>
      <c r="S463" s="1062"/>
      <c r="T463" s="1062"/>
      <c r="U463" s="1062"/>
      <c r="V463" s="1062"/>
      <c r="W463" s="1062"/>
      <c r="X463" s="460"/>
      <c r="Y463" s="300"/>
      <c r="Z463" s="300"/>
      <c r="AA463" s="300"/>
      <c r="AB463" s="300"/>
      <c r="AC463" s="300"/>
      <c r="AD463" s="300"/>
      <c r="AE463" s="300"/>
      <c r="AF463" s="300"/>
      <c r="AG463" s="300"/>
      <c r="AH463" s="377"/>
      <c r="AI463" s="300"/>
      <c r="AJ463" s="300"/>
      <c r="AK463" s="300"/>
      <c r="AL463" s="300"/>
      <c r="AM463" s="300"/>
      <c r="AQ463" s="300"/>
      <c r="AR463" s="300"/>
      <c r="AS463" s="300"/>
      <c r="AT463" s="300"/>
      <c r="AU463" s="300"/>
      <c r="AV463" s="300"/>
      <c r="BD463" s="300"/>
      <c r="BE463" s="300"/>
      <c r="BF463" s="300"/>
      <c r="BG463" s="300"/>
      <c r="BH463" s="300"/>
      <c r="BI463" s="300"/>
      <c r="BJ463" s="300"/>
      <c r="BK463" s="300"/>
      <c r="BS463" s="300"/>
      <c r="BT463" s="300"/>
      <c r="BU463" s="300"/>
      <c r="BV463" s="300"/>
      <c r="BW463" s="300"/>
      <c r="BX463" s="300"/>
      <c r="BY463" s="300"/>
      <c r="BZ463" s="300"/>
      <c r="CH463" s="300"/>
      <c r="CI463" s="300"/>
      <c r="CJ463" s="300"/>
      <c r="CK463" s="300"/>
      <c r="CL463" s="300"/>
      <c r="CM463" s="300"/>
      <c r="CN463" s="300"/>
      <c r="CO463" s="300"/>
      <c r="CW463" s="300"/>
      <c r="CX463" s="300"/>
      <c r="CY463" s="300"/>
      <c r="CZ463" s="300"/>
      <c r="DA463" s="300"/>
      <c r="DB463" s="300"/>
      <c r="DC463" s="300"/>
      <c r="DD463" s="300"/>
      <c r="DL463" s="300"/>
      <c r="DM463" s="300"/>
      <c r="DN463" s="300"/>
      <c r="DO463" s="300"/>
      <c r="DP463" s="300"/>
      <c r="DQ463" s="300"/>
      <c r="DR463" s="300"/>
      <c r="DS463" s="300"/>
    </row>
    <row r="464" spans="1:123" ht="32.25" customHeight="1" hidden="1">
      <c r="A464" s="5"/>
      <c r="B464" s="1062"/>
      <c r="C464" s="1062"/>
      <c r="D464" s="1062"/>
      <c r="E464" s="1062"/>
      <c r="F464" s="1062"/>
      <c r="G464" s="1062"/>
      <c r="H464" s="1062"/>
      <c r="I464" s="1062"/>
      <c r="J464" s="1062"/>
      <c r="K464" s="1062"/>
      <c r="L464" s="1062"/>
      <c r="M464" s="1062"/>
      <c r="N464" s="1062"/>
      <c r="O464" s="1062"/>
      <c r="P464" s="1062"/>
      <c r="Q464" s="1062"/>
      <c r="R464" s="1062"/>
      <c r="S464" s="1062"/>
      <c r="T464" s="1062"/>
      <c r="U464" s="1062"/>
      <c r="V464" s="1062"/>
      <c r="W464" s="1062"/>
      <c r="X464" s="460"/>
      <c r="Y464" s="300"/>
      <c r="Z464" s="300"/>
      <c r="AA464" s="300"/>
      <c r="AB464" s="300"/>
      <c r="AC464" s="300"/>
      <c r="AD464" s="300"/>
      <c r="AE464" s="300"/>
      <c r="AF464" s="300"/>
      <c r="AG464" s="300"/>
      <c r="AH464" s="377"/>
      <c r="AI464" s="300"/>
      <c r="AJ464" s="300"/>
      <c r="AK464" s="300"/>
      <c r="AL464" s="300"/>
      <c r="AM464" s="300"/>
      <c r="AQ464" s="300"/>
      <c r="AR464" s="300"/>
      <c r="AS464" s="300"/>
      <c r="AT464" s="300"/>
      <c r="AU464" s="300"/>
      <c r="AV464" s="300"/>
      <c r="BD464" s="300"/>
      <c r="BE464" s="300"/>
      <c r="BF464" s="300"/>
      <c r="BG464" s="300"/>
      <c r="BH464" s="300"/>
      <c r="BI464" s="300"/>
      <c r="BJ464" s="300"/>
      <c r="BK464" s="300"/>
      <c r="BS464" s="300"/>
      <c r="BT464" s="300"/>
      <c r="BU464" s="300"/>
      <c r="BV464" s="300"/>
      <c r="BW464" s="300"/>
      <c r="BX464" s="300"/>
      <c r="BY464" s="300"/>
      <c r="BZ464" s="300"/>
      <c r="CH464" s="300"/>
      <c r="CI464" s="300"/>
      <c r="CJ464" s="300"/>
      <c r="CK464" s="300"/>
      <c r="CL464" s="300"/>
      <c r="CM464" s="300"/>
      <c r="CN464" s="300"/>
      <c r="CO464" s="300"/>
      <c r="CW464" s="300"/>
      <c r="CX464" s="300"/>
      <c r="CY464" s="300"/>
      <c r="CZ464" s="300"/>
      <c r="DA464" s="300"/>
      <c r="DB464" s="300"/>
      <c r="DC464" s="300"/>
      <c r="DD464" s="300"/>
      <c r="DL464" s="300"/>
      <c r="DM464" s="300"/>
      <c r="DN464" s="300"/>
      <c r="DO464" s="300"/>
      <c r="DP464" s="300"/>
      <c r="DQ464" s="300"/>
      <c r="DR464" s="300"/>
      <c r="DS464" s="300"/>
    </row>
    <row r="465" spans="1:123" ht="3.75" customHeight="1">
      <c r="A465" s="460"/>
      <c r="B465" s="460"/>
      <c r="C465" s="460"/>
      <c r="D465" s="460"/>
      <c r="E465" s="460"/>
      <c r="F465" s="460"/>
      <c r="G465" s="460"/>
      <c r="H465" s="460"/>
      <c r="I465" s="460"/>
      <c r="J465" s="460"/>
      <c r="K465" s="460"/>
      <c r="L465" s="460"/>
      <c r="M465" s="460"/>
      <c r="N465" s="460"/>
      <c r="O465" s="460"/>
      <c r="P465" s="460"/>
      <c r="Q465" s="460"/>
      <c r="R465" s="460"/>
      <c r="S465" s="460"/>
      <c r="T465" s="460"/>
      <c r="U465" s="460"/>
      <c r="V465" s="460"/>
      <c r="W465" s="460"/>
      <c r="X465" s="460"/>
      <c r="Y465" s="300"/>
      <c r="Z465" s="300"/>
      <c r="AA465" s="300"/>
      <c r="AB465" s="300"/>
      <c r="AC465" s="300"/>
      <c r="AD465" s="300"/>
      <c r="AE465" s="300"/>
      <c r="AF465" s="300"/>
      <c r="AG465" s="300"/>
      <c r="AH465" s="377"/>
      <c r="AQ465" s="300"/>
      <c r="AR465" s="300"/>
      <c r="AS465" s="300"/>
      <c r="AT465" s="300"/>
      <c r="AU465" s="300"/>
      <c r="AV465" s="300"/>
      <c r="BD465" s="300"/>
      <c r="BE465" s="300"/>
      <c r="BF465" s="300"/>
      <c r="BG465" s="300"/>
      <c r="BH465" s="300"/>
      <c r="BI465" s="300"/>
      <c r="BJ465" s="300"/>
      <c r="BK465" s="300"/>
      <c r="BS465" s="300"/>
      <c r="BT465" s="300"/>
      <c r="BU465" s="300"/>
      <c r="BV465" s="300"/>
      <c r="BW465" s="300"/>
      <c r="BX465" s="300"/>
      <c r="BY465" s="300"/>
      <c r="BZ465" s="300"/>
      <c r="CH465" s="300"/>
      <c r="CI465" s="300"/>
      <c r="CJ465" s="300"/>
      <c r="CK465" s="300"/>
      <c r="CL465" s="300"/>
      <c r="CM465" s="300"/>
      <c r="CN465" s="300"/>
      <c r="CO465" s="300"/>
      <c r="CW465" s="300"/>
      <c r="CX465" s="300"/>
      <c r="CY465" s="300"/>
      <c r="CZ465" s="300"/>
      <c r="DA465" s="300"/>
      <c r="DB465" s="300"/>
      <c r="DC465" s="300"/>
      <c r="DD465" s="300"/>
      <c r="DL465" s="300"/>
      <c r="DM465" s="300"/>
      <c r="DN465" s="300"/>
      <c r="DO465" s="300"/>
      <c r="DP465" s="300"/>
      <c r="DQ465" s="300"/>
      <c r="DR465" s="300"/>
      <c r="DS465" s="300"/>
    </row>
    <row r="466" spans="1:34" ht="17.25">
      <c r="A466" s="531">
        <f>SUM(A467:A479)</f>
        <v>1</v>
      </c>
      <c r="B466" s="1060" t="str">
        <f>IF(A466=12,"Экспертное заключение ГОТОВО к печати","ЭЗ не готово к печати")</f>
        <v>ЭЗ не готово к печати</v>
      </c>
      <c r="C466" s="1060"/>
      <c r="D466" s="1060"/>
      <c r="E466" s="1060"/>
      <c r="F466" s="1060"/>
      <c r="G466" s="1060"/>
      <c r="H466" s="1060"/>
      <c r="I466" s="1060"/>
      <c r="J466" s="1060"/>
      <c r="K466" s="1060"/>
      <c r="L466" s="1060"/>
      <c r="M466" s="1060"/>
      <c r="N466" s="1060"/>
      <c r="O466" s="1060"/>
      <c r="P466" s="1060"/>
      <c r="Q466" s="1060"/>
      <c r="R466" s="1060"/>
      <c r="S466" s="1060"/>
      <c r="T466" s="1060"/>
      <c r="U466" s="1060"/>
      <c r="V466" s="1060"/>
      <c r="W466" s="532"/>
      <c r="X466" s="460"/>
      <c r="Y466" s="300"/>
      <c r="Z466" s="300"/>
      <c r="AA466" s="300"/>
      <c r="AB466" s="300"/>
      <c r="AC466" s="300"/>
      <c r="AD466" s="300"/>
      <c r="AE466" s="300"/>
      <c r="AF466" s="300"/>
      <c r="AG466" s="300"/>
      <c r="AH466" s="377"/>
    </row>
    <row r="467" spans="1:34" ht="13.5">
      <c r="A467" s="461">
        <f>IF(M467=" + ",1,0)</f>
        <v>0</v>
      </c>
      <c r="B467" s="462" t="s">
        <v>9</v>
      </c>
      <c r="C467" s="462"/>
      <c r="D467" s="462"/>
      <c r="E467" s="462"/>
      <c r="F467" s="462"/>
      <c r="G467" s="462"/>
      <c r="H467" s="462"/>
      <c r="I467" s="462"/>
      <c r="J467" s="462"/>
      <c r="K467" s="462"/>
      <c r="L467" s="462"/>
      <c r="M467" s="463" t="str">
        <f>IF(FIO&lt;&gt;""," + ","не заполнено")</f>
        <v>не заполнено</v>
      </c>
      <c r="N467" s="462"/>
      <c r="O467" s="462"/>
      <c r="P467" s="462"/>
      <c r="Q467" s="462"/>
      <c r="R467" s="462"/>
      <c r="S467" s="462"/>
      <c r="T467" s="462"/>
      <c r="U467" s="462"/>
      <c r="V467" s="462"/>
      <c r="W467" s="462"/>
      <c r="X467" s="460"/>
      <c r="Y467" s="300"/>
      <c r="Z467" s="300"/>
      <c r="AA467" s="300"/>
      <c r="AB467" s="300"/>
      <c r="AC467" s="300"/>
      <c r="AD467" s="300"/>
      <c r="AE467" s="300"/>
      <c r="AF467" s="300"/>
      <c r="AG467" s="300"/>
      <c r="AH467" s="377"/>
    </row>
    <row r="468" spans="1:34" ht="13.5">
      <c r="A468" s="461">
        <f aca="true" t="shared" si="1" ref="A468:A479">IF(M468=" + ",1,0)</f>
        <v>0</v>
      </c>
      <c r="B468" s="464" t="s">
        <v>11</v>
      </c>
      <c r="C468" s="464"/>
      <c r="D468" s="464"/>
      <c r="E468" s="464"/>
      <c r="F468" s="464"/>
      <c r="G468" s="464"/>
      <c r="H468" s="464"/>
      <c r="I468" s="464"/>
      <c r="J468" s="464"/>
      <c r="K468" s="464"/>
      <c r="L468" s="464"/>
      <c r="M468" s="465" t="str">
        <f>IF(C48&lt;&gt;""," + ","не заполнено")</f>
        <v>не заполнено</v>
      </c>
      <c r="N468" s="464"/>
      <c r="O468" s="464"/>
      <c r="P468" s="464"/>
      <c r="Q468" s="464"/>
      <c r="R468" s="464"/>
      <c r="S468" s="464"/>
      <c r="T468" s="464"/>
      <c r="U468" s="464"/>
      <c r="V468" s="464"/>
      <c r="W468" s="464"/>
      <c r="X468" s="460"/>
      <c r="Y468" s="300"/>
      <c r="Z468" s="300"/>
      <c r="AA468" s="300"/>
      <c r="AB468" s="300"/>
      <c r="AC468" s="300"/>
      <c r="AD468" s="300"/>
      <c r="AE468" s="300"/>
      <c r="AF468" s="300"/>
      <c r="AG468" s="300"/>
      <c r="AH468" s="377"/>
    </row>
    <row r="469" spans="1:34" ht="13.5">
      <c r="A469" s="461">
        <f t="shared" si="1"/>
        <v>0</v>
      </c>
      <c r="B469" s="464" t="s">
        <v>10</v>
      </c>
      <c r="C469" s="464"/>
      <c r="D469" s="464"/>
      <c r="E469" s="464"/>
      <c r="F469" s="464"/>
      <c r="G469" s="464"/>
      <c r="H469" s="464"/>
      <c r="I469" s="464"/>
      <c r="J469" s="464"/>
      <c r="K469" s="464"/>
      <c r="L469" s="464"/>
      <c r="M469" s="465" t="str">
        <f>IF(E51&lt;&gt;""," + ","не заполнено")</f>
        <v>не заполнено</v>
      </c>
      <c r="N469" s="464"/>
      <c r="O469" s="464"/>
      <c r="P469" s="464"/>
      <c r="Q469" s="464"/>
      <c r="R469" s="464"/>
      <c r="S469" s="464"/>
      <c r="T469" s="464"/>
      <c r="U469" s="464"/>
      <c r="V469" s="464"/>
      <c r="W469" s="464"/>
      <c r="X469" s="460"/>
      <c r="Y469" s="300"/>
      <c r="Z469" s="300"/>
      <c r="AA469" s="300"/>
      <c r="AB469" s="300"/>
      <c r="AC469" s="300"/>
      <c r="AD469" s="300"/>
      <c r="AE469" s="300"/>
      <c r="AF469" s="300"/>
      <c r="AG469" s="300"/>
      <c r="AH469" s="377"/>
    </row>
    <row r="470" spans="1:34" ht="13.5">
      <c r="A470" s="461">
        <f t="shared" si="1"/>
        <v>0</v>
      </c>
      <c r="B470" s="464" t="s">
        <v>12</v>
      </c>
      <c r="C470" s="464"/>
      <c r="D470" s="464"/>
      <c r="E470" s="464"/>
      <c r="F470" s="464"/>
      <c r="G470" s="464"/>
      <c r="H470" s="464"/>
      <c r="I470" s="464"/>
      <c r="J470" s="464"/>
      <c r="K470" s="464"/>
      <c r="L470" s="464"/>
      <c r="M470" s="465" t="str">
        <f>IF(D52&lt;&gt;""," + ","не заполнено")</f>
        <v>не заполнено</v>
      </c>
      <c r="N470" s="464"/>
      <c r="O470" s="464"/>
      <c r="P470" s="464"/>
      <c r="Q470" s="464"/>
      <c r="R470" s="464"/>
      <c r="S470" s="464"/>
      <c r="T470" s="464"/>
      <c r="U470" s="464"/>
      <c r="V470" s="464"/>
      <c r="W470" s="464"/>
      <c r="X470" s="460"/>
      <c r="Y470" s="300"/>
      <c r="Z470" s="300"/>
      <c r="AA470" s="300"/>
      <c r="AB470" s="300"/>
      <c r="AC470" s="300"/>
      <c r="AD470" s="300"/>
      <c r="AE470" s="300"/>
      <c r="AF470" s="300"/>
      <c r="AG470" s="300"/>
      <c r="AH470" s="377"/>
    </row>
    <row r="471" spans="1:34" ht="13.5">
      <c r="A471" s="461">
        <f t="shared" si="1"/>
        <v>1</v>
      </c>
      <c r="B471" s="464" t="s">
        <v>14</v>
      </c>
      <c r="C471" s="464"/>
      <c r="D471" s="464"/>
      <c r="E471" s="464"/>
      <c r="F471" s="464"/>
      <c r="G471" s="464"/>
      <c r="H471" s="464"/>
      <c r="I471" s="464"/>
      <c r="J471" s="464"/>
      <c r="K471" s="464"/>
      <c r="L471" s="464"/>
      <c r="M471" s="465" t="str">
        <f>IF(E54&gt;0," + ","не заполнено")</f>
        <v> + </v>
      </c>
      <c r="N471" s="464"/>
      <c r="O471" s="464"/>
      <c r="P471" s="464"/>
      <c r="Q471" s="464"/>
      <c r="R471" s="464"/>
      <c r="S471" s="464"/>
      <c r="T471" s="464"/>
      <c r="U471" s="464"/>
      <c r="V471" s="464"/>
      <c r="W471" s="464"/>
      <c r="X471" s="460"/>
      <c r="Y471" s="300"/>
      <c r="Z471" s="300"/>
      <c r="AA471" s="300"/>
      <c r="AB471" s="300"/>
      <c r="AC471" s="300"/>
      <c r="AD471" s="300"/>
      <c r="AE471" s="300"/>
      <c r="AF471" s="300"/>
      <c r="AG471" s="300"/>
      <c r="AH471" s="377"/>
    </row>
    <row r="472" spans="1:34" ht="13.5">
      <c r="A472" s="461">
        <f t="shared" si="1"/>
        <v>0</v>
      </c>
      <c r="B472" s="464" t="s">
        <v>15</v>
      </c>
      <c r="C472" s="464"/>
      <c r="D472" s="464"/>
      <c r="E472" s="464"/>
      <c r="F472" s="464"/>
      <c r="G472" s="464"/>
      <c r="H472" s="464"/>
      <c r="I472" s="464"/>
      <c r="J472" s="464"/>
      <c r="K472" s="464"/>
      <c r="L472" s="464"/>
      <c r="M472" s="465" t="str">
        <f>IF(G55&lt;&gt;""," + ","не заполнено")</f>
        <v>не заполнено</v>
      </c>
      <c r="N472" s="464"/>
      <c r="O472" s="464"/>
      <c r="P472" s="464"/>
      <c r="Q472" s="464"/>
      <c r="R472" s="464"/>
      <c r="S472" s="464"/>
      <c r="T472" s="464"/>
      <c r="U472" s="464"/>
      <c r="V472" s="464"/>
      <c r="W472" s="464"/>
      <c r="X472" s="460"/>
      <c r="Y472" s="300"/>
      <c r="Z472" s="300"/>
      <c r="AA472" s="300"/>
      <c r="AB472" s="300"/>
      <c r="AC472" s="300"/>
      <c r="AD472" s="300"/>
      <c r="AE472" s="300"/>
      <c r="AF472" s="300"/>
      <c r="AG472" s="300"/>
      <c r="AH472" s="377"/>
    </row>
    <row r="473" spans="1:34" ht="13.5">
      <c r="A473" s="461">
        <f t="shared" si="1"/>
        <v>0</v>
      </c>
      <c r="B473" s="464" t="s">
        <v>16</v>
      </c>
      <c r="C473" s="464"/>
      <c r="D473" s="464"/>
      <c r="E473" s="464"/>
      <c r="F473" s="464"/>
      <c r="G473" s="464"/>
      <c r="H473" s="464"/>
      <c r="I473" s="464"/>
      <c r="J473" s="464"/>
      <c r="K473" s="464"/>
      <c r="L473" s="464"/>
      <c r="M473" s="465" t="str">
        <f>IF(P55&lt;&gt;""," + ",IF(G55="нет"," + ","не заполнено"))</f>
        <v>не заполнено</v>
      </c>
      <c r="N473" s="464"/>
      <c r="O473" s="464"/>
      <c r="P473" s="464"/>
      <c r="Q473" s="464"/>
      <c r="R473" s="464"/>
      <c r="S473" s="464"/>
      <c r="T473" s="464"/>
      <c r="U473" s="464"/>
      <c r="V473" s="464"/>
      <c r="W473" s="464"/>
      <c r="X473" s="460"/>
      <c r="Y473" s="300"/>
      <c r="Z473" s="300"/>
      <c r="AA473" s="300"/>
      <c r="AB473" s="300"/>
      <c r="AC473" s="300"/>
      <c r="AD473" s="300"/>
      <c r="AE473" s="300"/>
      <c r="AF473" s="300"/>
      <c r="AG473" s="300"/>
      <c r="AH473" s="377"/>
    </row>
    <row r="474" spans="1:34" ht="13.5">
      <c r="A474" s="461">
        <f t="shared" si="1"/>
        <v>0</v>
      </c>
      <c r="B474" s="464" t="s">
        <v>18</v>
      </c>
      <c r="C474" s="464"/>
      <c r="D474" s="464"/>
      <c r="E474" s="464"/>
      <c r="F474" s="464"/>
      <c r="G474" s="464"/>
      <c r="H474" s="464"/>
      <c r="I474" s="464"/>
      <c r="J474" s="464"/>
      <c r="K474" s="464"/>
      <c r="L474" s="464"/>
      <c r="M474" s="465" t="str">
        <f>IF(z_kateg&lt;&gt;""," + "," - ")</f>
        <v> - </v>
      </c>
      <c r="N474" s="668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74" s="464"/>
      <c r="P474" s="464"/>
      <c r="Q474" s="464"/>
      <c r="R474" s="464"/>
      <c r="S474" s="464"/>
      <c r="T474" s="464"/>
      <c r="U474" s="464"/>
      <c r="V474" s="464"/>
      <c r="W474" s="464"/>
      <c r="X474" s="460"/>
      <c r="Y474" s="300"/>
      <c r="Z474" s="300"/>
      <c r="AA474" s="300"/>
      <c r="AB474" s="300"/>
      <c r="AC474" s="300"/>
      <c r="AD474" s="300"/>
      <c r="AE474" s="300"/>
      <c r="AF474" s="300"/>
      <c r="AG474" s="300"/>
      <c r="AH474" s="377"/>
    </row>
    <row r="475" spans="1:34" ht="13.5">
      <c r="A475" s="461">
        <f t="shared" si="1"/>
        <v>0</v>
      </c>
      <c r="B475" s="464" t="s">
        <v>238</v>
      </c>
      <c r="C475" s="464"/>
      <c r="D475" s="464"/>
      <c r="E475" s="464"/>
      <c r="F475" s="464"/>
      <c r="G475" s="464"/>
      <c r="H475" s="464"/>
      <c r="I475" s="464"/>
      <c r="J475" s="464"/>
      <c r="K475" s="464"/>
      <c r="L475" s="464"/>
      <c r="M475" s="465" t="str">
        <f>IF(H92&lt;&gt;""," + ","не заполнено")</f>
        <v>не заполнено</v>
      </c>
      <c r="N475" s="464"/>
      <c r="O475" s="464"/>
      <c r="P475" s="464"/>
      <c r="Q475" s="464"/>
      <c r="R475" s="464"/>
      <c r="S475" s="464"/>
      <c r="T475" s="464"/>
      <c r="U475" s="464"/>
      <c r="V475" s="464"/>
      <c r="W475" s="464"/>
      <c r="X475" s="460"/>
      <c r="Y475" s="300"/>
      <c r="Z475" s="300"/>
      <c r="AA475" s="300"/>
      <c r="AB475" s="300"/>
      <c r="AC475" s="300"/>
      <c r="AD475" s="300"/>
      <c r="AE475" s="300"/>
      <c r="AF475" s="300"/>
      <c r="AG475" s="300"/>
      <c r="AH475" s="377"/>
    </row>
    <row r="476" spans="1:34" ht="13.5">
      <c r="A476" s="461">
        <f t="shared" si="1"/>
        <v>0</v>
      </c>
      <c r="B476" s="464" t="s">
        <v>255</v>
      </c>
      <c r="C476" s="464"/>
      <c r="D476" s="464"/>
      <c r="E476" s="464"/>
      <c r="F476" s="464"/>
      <c r="G476" s="464"/>
      <c r="H476" s="464"/>
      <c r="I476" s="464"/>
      <c r="J476" s="464"/>
      <c r="K476" s="466" t="s">
        <v>54</v>
      </c>
      <c r="L476" s="464"/>
      <c r="M476" s="465" t="str">
        <f>IF(H94&lt;&gt;""," + ","не заполнено")</f>
        <v>не заполнено</v>
      </c>
      <c r="N476" s="464"/>
      <c r="O476" s="464"/>
      <c r="P476" s="464"/>
      <c r="Q476" s="464"/>
      <c r="R476" s="464"/>
      <c r="S476" s="464"/>
      <c r="T476" s="464"/>
      <c r="U476" s="464"/>
      <c r="V476" s="464"/>
      <c r="W476" s="464"/>
      <c r="X476" s="460"/>
      <c r="Y476" s="300"/>
      <c r="Z476" s="300"/>
      <c r="AA476" s="300"/>
      <c r="AB476" s="300"/>
      <c r="AC476" s="300"/>
      <c r="AD476" s="300"/>
      <c r="AE476" s="300"/>
      <c r="AF476" s="300"/>
      <c r="AG476" s="300"/>
      <c r="AH476" s="377"/>
    </row>
    <row r="477" spans="1:34" ht="13.5">
      <c r="A477" s="461">
        <f t="shared" si="1"/>
        <v>0</v>
      </c>
      <c r="B477" s="464"/>
      <c r="C477" s="464"/>
      <c r="D477" s="464"/>
      <c r="E477" s="464"/>
      <c r="F477" s="464"/>
      <c r="G477" s="464"/>
      <c r="H477" s="464"/>
      <c r="I477" s="464"/>
      <c r="J477" s="464"/>
      <c r="K477" s="466" t="s">
        <v>256</v>
      </c>
      <c r="L477" s="464"/>
      <c r="M477" s="465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477" s="464"/>
      <c r="O477" s="464"/>
      <c r="P477" s="464"/>
      <c r="Q477" s="464"/>
      <c r="R477" s="464"/>
      <c r="S477" s="464"/>
      <c r="T477" s="464"/>
      <c r="U477" s="464"/>
      <c r="V477" s="464"/>
      <c r="W477" s="464"/>
      <c r="X477" s="460"/>
      <c r="Y477" s="300"/>
      <c r="Z477" s="300"/>
      <c r="AA477" s="300"/>
      <c r="AB477" s="300"/>
      <c r="AC477" s="300"/>
      <c r="AD477" s="300"/>
      <c r="AE477" s="300"/>
      <c r="AF477" s="300"/>
      <c r="AG477" s="300"/>
      <c r="AH477" s="377"/>
    </row>
    <row r="478" spans="1:34" ht="2.25" customHeight="1">
      <c r="A478" s="461">
        <f>IF(M478=" + ",1,0)</f>
        <v>0</v>
      </c>
      <c r="B478" s="464"/>
      <c r="C478" s="464"/>
      <c r="D478" s="464"/>
      <c r="E478" s="464"/>
      <c r="F478" s="464"/>
      <c r="G478" s="464"/>
      <c r="H478" s="464"/>
      <c r="I478" s="464"/>
      <c r="J478" s="464"/>
      <c r="K478" s="464"/>
      <c r="L478" s="464"/>
      <c r="M478" s="467"/>
      <c r="N478" s="464"/>
      <c r="O478" s="464"/>
      <c r="P478" s="464"/>
      <c r="Q478" s="464"/>
      <c r="R478" s="464"/>
      <c r="S478" s="464"/>
      <c r="T478" s="464"/>
      <c r="U478" s="464"/>
      <c r="V478" s="464"/>
      <c r="W478" s="464"/>
      <c r="X478" s="460"/>
      <c r="Y478" s="300"/>
      <c r="Z478" s="300"/>
      <c r="AA478" s="300"/>
      <c r="AB478" s="300"/>
      <c r="AC478" s="300"/>
      <c r="AD478" s="300"/>
      <c r="AE478" s="300"/>
      <c r="AF478" s="300"/>
      <c r="AG478" s="300"/>
      <c r="AH478" s="377"/>
    </row>
    <row r="479" spans="1:34" ht="13.5">
      <c r="A479" s="461">
        <f t="shared" si="1"/>
        <v>0</v>
      </c>
      <c r="B479" s="464" t="s">
        <v>257</v>
      </c>
      <c r="C479" s="464"/>
      <c r="D479" s="464"/>
      <c r="E479" s="464"/>
      <c r="F479" s="464"/>
      <c r="G479" s="464"/>
      <c r="H479" s="464"/>
      <c r="I479" s="464"/>
      <c r="J479" s="464"/>
      <c r="K479" s="464"/>
      <c r="L479" s="464"/>
      <c r="M479" s="465" t="str">
        <f>IF(Всего&lt;&gt;""," + ","не заполнено - подсчет автоматический")</f>
        <v>не заполнено - подсчет автоматический</v>
      </c>
      <c r="N479" s="464"/>
      <c r="O479" s="464"/>
      <c r="P479" s="464"/>
      <c r="Q479" s="464"/>
      <c r="R479" s="464"/>
      <c r="S479" s="464"/>
      <c r="T479" s="464"/>
      <c r="U479" s="464"/>
      <c r="V479" s="464"/>
      <c r="W479" s="464"/>
      <c r="X479" s="460"/>
      <c r="Y479" s="300"/>
      <c r="Z479" s="300"/>
      <c r="AA479" s="300"/>
      <c r="AB479" s="300"/>
      <c r="AC479" s="300"/>
      <c r="AD479" s="300"/>
      <c r="AE479" s="300"/>
      <c r="AF479" s="300"/>
      <c r="AG479" s="300"/>
      <c r="AH479" s="377"/>
    </row>
    <row r="480" spans="1:34" ht="6" customHeight="1">
      <c r="A480" s="461"/>
      <c r="B480" s="468"/>
      <c r="C480" s="468"/>
      <c r="D480" s="468"/>
      <c r="E480" s="468"/>
      <c r="F480" s="468"/>
      <c r="G480" s="468"/>
      <c r="H480" s="468"/>
      <c r="I480" s="468"/>
      <c r="J480" s="468"/>
      <c r="K480" s="468"/>
      <c r="L480" s="468"/>
      <c r="M480" s="469"/>
      <c r="N480" s="468"/>
      <c r="O480" s="468"/>
      <c r="P480" s="468"/>
      <c r="Q480" s="468"/>
      <c r="R480" s="468"/>
      <c r="S480" s="468"/>
      <c r="T480" s="468"/>
      <c r="U480" s="468"/>
      <c r="V480" s="468"/>
      <c r="W480" s="468"/>
      <c r="X480" s="460"/>
      <c r="Y480" s="300"/>
      <c r="Z480" s="300"/>
      <c r="AA480" s="300"/>
      <c r="AB480" s="300"/>
      <c r="AC480" s="300"/>
      <c r="AD480" s="300"/>
      <c r="AE480" s="300"/>
      <c r="AF480" s="300"/>
      <c r="AG480" s="300"/>
      <c r="AH480" s="377"/>
    </row>
    <row r="481" spans="1:123" ht="12.75">
      <c r="A481" s="470"/>
      <c r="B481" s="471" t="str">
        <f>IF($B$466="Экспертное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81" s="377"/>
      <c r="D481" s="377"/>
      <c r="E481" s="377"/>
      <c r="F481" s="377"/>
      <c r="G481" s="377"/>
      <c r="H481" s="377"/>
      <c r="I481" s="377"/>
      <c r="J481" s="377"/>
      <c r="K481" s="377"/>
      <c r="L481" s="377"/>
      <c r="M481" s="377"/>
      <c r="N481" s="377"/>
      <c r="O481" s="377"/>
      <c r="P481" s="377"/>
      <c r="Q481" s="377"/>
      <c r="R481" s="377"/>
      <c r="S481" s="377"/>
      <c r="T481" s="377"/>
      <c r="U481" s="377"/>
      <c r="V481" s="377"/>
      <c r="W481" s="377"/>
      <c r="X481" s="460"/>
      <c r="Y481" s="300"/>
      <c r="Z481" s="300"/>
      <c r="AA481" s="300"/>
      <c r="AB481" s="300"/>
      <c r="AC481" s="300"/>
      <c r="AD481" s="300"/>
      <c r="AE481" s="300"/>
      <c r="AF481" s="300"/>
      <c r="AG481" s="300"/>
      <c r="AH481" s="377"/>
      <c r="AQ481" s="300"/>
      <c r="AR481" s="300"/>
      <c r="AS481" s="300"/>
      <c r="AT481" s="300"/>
      <c r="AU481" s="300"/>
      <c r="AV481" s="300"/>
      <c r="BD481" s="300"/>
      <c r="BE481" s="300"/>
      <c r="BF481" s="300"/>
      <c r="BG481" s="300"/>
      <c r="BH481" s="300"/>
      <c r="BI481" s="300"/>
      <c r="BJ481" s="300"/>
      <c r="BK481" s="300"/>
      <c r="BS481" s="300"/>
      <c r="BT481" s="300"/>
      <c r="BU481" s="300"/>
      <c r="BV481" s="300"/>
      <c r="BW481" s="300"/>
      <c r="BX481" s="300"/>
      <c r="BY481" s="300"/>
      <c r="BZ481" s="300"/>
      <c r="CH481" s="300"/>
      <c r="CI481" s="300"/>
      <c r="CJ481" s="300"/>
      <c r="CK481" s="300"/>
      <c r="CL481" s="300"/>
      <c r="CM481" s="300"/>
      <c r="CN481" s="300"/>
      <c r="CO481" s="300"/>
      <c r="CW481" s="300"/>
      <c r="CX481" s="300"/>
      <c r="CY481" s="300"/>
      <c r="CZ481" s="300"/>
      <c r="DA481" s="300"/>
      <c r="DB481" s="300"/>
      <c r="DC481" s="300"/>
      <c r="DD481" s="300"/>
      <c r="DL481" s="300"/>
      <c r="DM481" s="300"/>
      <c r="DN481" s="300"/>
      <c r="DO481" s="300"/>
      <c r="DP481" s="300"/>
      <c r="DQ481" s="300"/>
      <c r="DR481" s="300"/>
      <c r="DS481" s="300"/>
    </row>
    <row r="482" spans="1:34" ht="12.75">
      <c r="A482" s="470"/>
      <c r="B482" s="471">
        <f>IF($B$466="Экспертное заключение ГОТОВО к печати"," Печать ЭЗ:    меню Файл-Печать   или    комбинация клавиш  CTRL+P. ","")</f>
      </c>
      <c r="C482" s="377"/>
      <c r="D482" s="377"/>
      <c r="E482" s="377"/>
      <c r="F482" s="377"/>
      <c r="G482" s="377"/>
      <c r="H482" s="377"/>
      <c r="I482" s="377"/>
      <c r="J482" s="377"/>
      <c r="K482" s="377"/>
      <c r="L482" s="377"/>
      <c r="M482" s="377"/>
      <c r="N482" s="377"/>
      <c r="O482" s="377"/>
      <c r="P482" s="377"/>
      <c r="Q482" s="377"/>
      <c r="R482" s="377"/>
      <c r="S482" s="377"/>
      <c r="T482" s="377"/>
      <c r="U482" s="377"/>
      <c r="V482" s="377"/>
      <c r="W482" s="377"/>
      <c r="X482" s="460"/>
      <c r="Y482" s="300"/>
      <c r="Z482" s="300"/>
      <c r="AA482" s="300"/>
      <c r="AB482" s="300"/>
      <c r="AC482" s="300"/>
      <c r="AD482" s="300"/>
      <c r="AE482" s="300"/>
      <c r="AF482" s="300"/>
      <c r="AG482" s="300"/>
      <c r="AH482" s="377"/>
    </row>
    <row r="483" spans="2:34" ht="12.75">
      <c r="B483" s="389"/>
      <c r="Y483" s="300"/>
      <c r="Z483" s="300"/>
      <c r="AA483" s="300"/>
      <c r="AB483" s="300"/>
      <c r="AC483" s="300"/>
      <c r="AD483" s="300"/>
      <c r="AE483" s="300"/>
      <c r="AF483" s="300"/>
      <c r="AG483" s="300"/>
      <c r="AH483" s="377"/>
    </row>
    <row r="484" spans="1:33" ht="15">
      <c r="A484" s="302"/>
      <c r="B484" s="1044" t="s">
        <v>258</v>
      </c>
      <c r="C484" s="1045"/>
      <c r="D484" s="1045"/>
      <c r="E484" s="1045"/>
      <c r="F484" s="1045"/>
      <c r="G484" s="1045"/>
      <c r="H484" s="1045"/>
      <c r="I484" s="1045"/>
      <c r="J484" s="1045"/>
      <c r="K484" s="1045"/>
      <c r="L484" s="1045"/>
      <c r="M484" s="1045"/>
      <c r="N484" s="1045"/>
      <c r="O484" s="1045"/>
      <c r="P484" s="1045"/>
      <c r="Q484" s="1045"/>
      <c r="R484" s="1045"/>
      <c r="S484" s="1045"/>
      <c r="T484" s="1045"/>
      <c r="U484" s="1045"/>
      <c r="V484" s="1046"/>
      <c r="W484" s="302"/>
      <c r="Y484" s="300"/>
      <c r="Z484" s="300"/>
      <c r="AA484" s="300"/>
      <c r="AB484" s="300"/>
      <c r="AC484" s="300"/>
      <c r="AD484" s="300"/>
      <c r="AE484" s="300"/>
      <c r="AF484" s="300"/>
      <c r="AG484" s="300"/>
    </row>
    <row r="485" spans="23:33" ht="4.5" customHeight="1">
      <c r="W485" s="257"/>
      <c r="Y485" s="300"/>
      <c r="Z485" s="300"/>
      <c r="AA485" s="300"/>
      <c r="AB485" s="300"/>
      <c r="AC485" s="300"/>
      <c r="AD485" s="300"/>
      <c r="AE485" s="300"/>
      <c r="AF485" s="300"/>
      <c r="AG485" s="300"/>
    </row>
    <row r="486" spans="1:33" ht="15">
      <c r="A486" s="302"/>
      <c r="B486" s="1044" t="s">
        <v>259</v>
      </c>
      <c r="C486" s="1045"/>
      <c r="D486" s="1045"/>
      <c r="E486" s="1045"/>
      <c r="F486" s="1045"/>
      <c r="G486" s="1045"/>
      <c r="H486" s="1045"/>
      <c r="I486" s="1045"/>
      <c r="J486" s="1045"/>
      <c r="K486" s="1045"/>
      <c r="L486" s="1045"/>
      <c r="M486" s="1045"/>
      <c r="N486" s="1045"/>
      <c r="O486" s="1045"/>
      <c r="P486" s="1045"/>
      <c r="Q486" s="1045"/>
      <c r="R486" s="1045"/>
      <c r="S486" s="1045"/>
      <c r="T486" s="1045"/>
      <c r="U486" s="1045"/>
      <c r="V486" s="1046"/>
      <c r="W486" s="302"/>
      <c r="Y486" s="300"/>
      <c r="Z486" s="300"/>
      <c r="AA486" s="300"/>
      <c r="AB486" s="300"/>
      <c r="AC486" s="300"/>
      <c r="AD486" s="300"/>
      <c r="AE486" s="300"/>
      <c r="AF486" s="300"/>
      <c r="AG486" s="300"/>
    </row>
    <row r="487" spans="23:33" ht="12.75">
      <c r="W487" s="257"/>
      <c r="Y487" s="300"/>
      <c r="Z487" s="300"/>
      <c r="AA487" s="300"/>
      <c r="AB487" s="300"/>
      <c r="AC487" s="300"/>
      <c r="AD487" s="300"/>
      <c r="AE487" s="300"/>
      <c r="AF487" s="300"/>
      <c r="AG487" s="300"/>
    </row>
    <row r="488" spans="25:33" ht="12.75">
      <c r="Y488" s="300"/>
      <c r="Z488" s="300"/>
      <c r="AA488" s="300"/>
      <c r="AB488" s="300"/>
      <c r="AC488" s="300"/>
      <c r="AD488" s="300"/>
      <c r="AE488" s="300"/>
      <c r="AF488" s="300"/>
      <c r="AG488" s="300"/>
    </row>
    <row r="489" spans="25:33" ht="12.75">
      <c r="Y489" s="300"/>
      <c r="Z489" s="300"/>
      <c r="AA489" s="300"/>
      <c r="AB489" s="300"/>
      <c r="AC489" s="300"/>
      <c r="AD489" s="300"/>
      <c r="AE489" s="300"/>
      <c r="AF489" s="300"/>
      <c r="AG489" s="300"/>
    </row>
    <row r="490" spans="25:33" ht="12.75">
      <c r="Y490" s="300"/>
      <c r="Z490" s="300"/>
      <c r="AA490" s="300"/>
      <c r="AB490" s="300"/>
      <c r="AC490" s="300"/>
      <c r="AD490" s="300"/>
      <c r="AE490" s="300"/>
      <c r="AF490" s="300"/>
      <c r="AG490" s="300"/>
    </row>
  </sheetData>
  <sheetProtection password="CF6C" sheet="1"/>
  <mergeCells count="560">
    <mergeCell ref="A234:A240"/>
    <mergeCell ref="B234:H240"/>
    <mergeCell ref="I234:M238"/>
    <mergeCell ref="N234:R238"/>
    <mergeCell ref="S234:W238"/>
    <mergeCell ref="I239:M240"/>
    <mergeCell ref="N239:R240"/>
    <mergeCell ref="S239:W240"/>
    <mergeCell ref="A227:A233"/>
    <mergeCell ref="B227:H233"/>
    <mergeCell ref="I227:M231"/>
    <mergeCell ref="N227:R231"/>
    <mergeCell ref="S227:W231"/>
    <mergeCell ref="I232:M233"/>
    <mergeCell ref="N232:R233"/>
    <mergeCell ref="S232:W233"/>
    <mergeCell ref="A241:A247"/>
    <mergeCell ref="B241:H247"/>
    <mergeCell ref="I241:M245"/>
    <mergeCell ref="N241:R245"/>
    <mergeCell ref="S241:W245"/>
    <mergeCell ref="I246:M247"/>
    <mergeCell ref="N246:R247"/>
    <mergeCell ref="S246:W247"/>
    <mergeCell ref="A248:A254"/>
    <mergeCell ref="B248:H254"/>
    <mergeCell ref="I248:M252"/>
    <mergeCell ref="N248:R252"/>
    <mergeCell ref="S248:W252"/>
    <mergeCell ref="I253:M254"/>
    <mergeCell ref="N253:R254"/>
    <mergeCell ref="S253:W254"/>
    <mergeCell ref="A217:A219"/>
    <mergeCell ref="B217:H219"/>
    <mergeCell ref="I217:W217"/>
    <mergeCell ref="I218:W218"/>
    <mergeCell ref="I219:M219"/>
    <mergeCell ref="N219:R219"/>
    <mergeCell ref="S219:W219"/>
    <mergeCell ref="B185:E185"/>
    <mergeCell ref="Q198:S199"/>
    <mergeCell ref="Q200:S201"/>
    <mergeCell ref="H202:J203"/>
    <mergeCell ref="B195:E202"/>
    <mergeCell ref="F195:G201"/>
    <mergeCell ref="Q195:S197"/>
    <mergeCell ref="H187:J189"/>
    <mergeCell ref="H190:J191"/>
    <mergeCell ref="F190:G191"/>
    <mergeCell ref="H98:W98"/>
    <mergeCell ref="H99:W99"/>
    <mergeCell ref="K394:O395"/>
    <mergeCell ref="P394:T395"/>
    <mergeCell ref="K396:O397"/>
    <mergeCell ref="P396:T397"/>
    <mergeCell ref="T202:W203"/>
    <mergeCell ref="N195:P197"/>
    <mergeCell ref="E128:N132"/>
    <mergeCell ref="E133:N138"/>
    <mergeCell ref="K202:M203"/>
    <mergeCell ref="I332:K334"/>
    <mergeCell ref="B313:J315"/>
    <mergeCell ref="B345:E345"/>
    <mergeCell ref="K398:O399"/>
    <mergeCell ref="P398:T399"/>
    <mergeCell ref="P391:T393"/>
    <mergeCell ref="H394:J397"/>
    <mergeCell ref="B398:E399"/>
    <mergeCell ref="U398:W399"/>
    <mergeCell ref="F389:W389"/>
    <mergeCell ref="F390:G390"/>
    <mergeCell ref="H390:J390"/>
    <mergeCell ref="K390:O390"/>
    <mergeCell ref="U390:W390"/>
    <mergeCell ref="P390:T390"/>
    <mergeCell ref="A391:A399"/>
    <mergeCell ref="B391:E397"/>
    <mergeCell ref="F391:G393"/>
    <mergeCell ref="H391:J393"/>
    <mergeCell ref="K391:O393"/>
    <mergeCell ref="N202:P203"/>
    <mergeCell ref="B329:E331"/>
    <mergeCell ref="I331:K331"/>
    <mergeCell ref="F331:H331"/>
    <mergeCell ref="N328:R328"/>
    <mergeCell ref="H200:J201"/>
    <mergeCell ref="T195:W197"/>
    <mergeCell ref="T198:W199"/>
    <mergeCell ref="T200:W201"/>
    <mergeCell ref="K194:M194"/>
    <mergeCell ref="H195:J197"/>
    <mergeCell ref="N200:P201"/>
    <mergeCell ref="H198:J199"/>
    <mergeCell ref="N198:P199"/>
    <mergeCell ref="N187:P189"/>
    <mergeCell ref="Q187:S189"/>
    <mergeCell ref="T187:W189"/>
    <mergeCell ref="K198:M199"/>
    <mergeCell ref="K200:M201"/>
    <mergeCell ref="K190:M191"/>
    <mergeCell ref="K195:M197"/>
    <mergeCell ref="K183:M186"/>
    <mergeCell ref="Q190:S191"/>
    <mergeCell ref="T190:W191"/>
    <mergeCell ref="N190:P191"/>
    <mergeCell ref="F177:W177"/>
    <mergeCell ref="F180:G185"/>
    <mergeCell ref="F186:G189"/>
    <mergeCell ref="T302:W305"/>
    <mergeCell ref="K179:M179"/>
    <mergeCell ref="N179:P179"/>
    <mergeCell ref="Q179:S179"/>
    <mergeCell ref="H180:J182"/>
    <mergeCell ref="K180:M182"/>
    <mergeCell ref="N180:P182"/>
    <mergeCell ref="T180:W182"/>
    <mergeCell ref="H183:J186"/>
    <mergeCell ref="K297:O301"/>
    <mergeCell ref="S328:W328"/>
    <mergeCell ref="N183:P186"/>
    <mergeCell ref="T183:W186"/>
    <mergeCell ref="K187:M189"/>
    <mergeCell ref="B297:J301"/>
    <mergeCell ref="A289:A292"/>
    <mergeCell ref="B316:J319"/>
    <mergeCell ref="B320:J323"/>
    <mergeCell ref="B309:J312"/>
    <mergeCell ref="B289:J290"/>
    <mergeCell ref="A293:A296"/>
    <mergeCell ref="B291:J292"/>
    <mergeCell ref="A195:A203"/>
    <mergeCell ref="A206:A216"/>
    <mergeCell ref="A267:A271"/>
    <mergeCell ref="A272:A278"/>
    <mergeCell ref="A255:A257"/>
    <mergeCell ref="B255:E257"/>
    <mergeCell ref="F255:W255"/>
    <mergeCell ref="F256:W256"/>
    <mergeCell ref="K310:W310"/>
    <mergeCell ref="B339:E344"/>
    <mergeCell ref="A332:A338"/>
    <mergeCell ref="A339:A345"/>
    <mergeCell ref="B332:E337"/>
    <mergeCell ref="B338:E338"/>
    <mergeCell ref="F342:H343"/>
    <mergeCell ref="F337:H338"/>
    <mergeCell ref="F329:W329"/>
    <mergeCell ref="F330:W330"/>
    <mergeCell ref="F332:H334"/>
    <mergeCell ref="F335:H336"/>
    <mergeCell ref="P337:S338"/>
    <mergeCell ref="I335:K336"/>
    <mergeCell ref="I337:K338"/>
    <mergeCell ref="B326:H328"/>
    <mergeCell ref="I326:W326"/>
    <mergeCell ref="I327:W327"/>
    <mergeCell ref="P336:S336"/>
    <mergeCell ref="P332:S334"/>
    <mergeCell ref="A326:A328"/>
    <mergeCell ref="I328:M328"/>
    <mergeCell ref="F344:H345"/>
    <mergeCell ref="I344:K345"/>
    <mergeCell ref="I339:K341"/>
    <mergeCell ref="I342:K343"/>
    <mergeCell ref="F339:H341"/>
    <mergeCell ref="L344:O345"/>
    <mergeCell ref="L337:O338"/>
    <mergeCell ref="L335:O335"/>
    <mergeCell ref="A346:A348"/>
    <mergeCell ref="B346:E348"/>
    <mergeCell ref="F346:W346"/>
    <mergeCell ref="F347:W347"/>
    <mergeCell ref="P348:W348"/>
    <mergeCell ref="F348:H348"/>
    <mergeCell ref="I348:O348"/>
    <mergeCell ref="A349:A355"/>
    <mergeCell ref="B349:E353"/>
    <mergeCell ref="P349:W353"/>
    <mergeCell ref="B354:E355"/>
    <mergeCell ref="P354:W355"/>
    <mergeCell ref="F349:H353"/>
    <mergeCell ref="F354:H355"/>
    <mergeCell ref="I349:O353"/>
    <mergeCell ref="I354:O355"/>
    <mergeCell ref="I367:K369"/>
    <mergeCell ref="I370:K372"/>
    <mergeCell ref="I364:W364"/>
    <mergeCell ref="I365:W365"/>
    <mergeCell ref="T370:W371"/>
    <mergeCell ref="T366:W366"/>
    <mergeCell ref="L367:O369"/>
    <mergeCell ref="A367:A374"/>
    <mergeCell ref="B373:H374"/>
    <mergeCell ref="A359:A363"/>
    <mergeCell ref="A364:A366"/>
    <mergeCell ref="L366:O366"/>
    <mergeCell ref="B364:H366"/>
    <mergeCell ref="B367:H372"/>
    <mergeCell ref="I362:K363"/>
    <mergeCell ref="F362:H363"/>
    <mergeCell ref="I366:K366"/>
    <mergeCell ref="T439:W440"/>
    <mergeCell ref="B429:G432"/>
    <mergeCell ref="H447:S447"/>
    <mergeCell ref="H446:S446"/>
    <mergeCell ref="T433:W433"/>
    <mergeCell ref="I373:K374"/>
    <mergeCell ref="F398:G399"/>
    <mergeCell ref="H398:J399"/>
    <mergeCell ref="U391:W392"/>
    <mergeCell ref="U393:W397"/>
    <mergeCell ref="P431:S432"/>
    <mergeCell ref="T431:W432"/>
    <mergeCell ref="A388:A390"/>
    <mergeCell ref="B388:E390"/>
    <mergeCell ref="F388:W388"/>
    <mergeCell ref="B466:V466"/>
    <mergeCell ref="B425:J425"/>
    <mergeCell ref="B463:W464"/>
    <mergeCell ref="L439:O440"/>
    <mergeCell ref="P439:S440"/>
    <mergeCell ref="N383:R383"/>
    <mergeCell ref="B378:H379"/>
    <mergeCell ref="S382:W382"/>
    <mergeCell ref="A375:A377"/>
    <mergeCell ref="B375:H377"/>
    <mergeCell ref="I375:W375"/>
    <mergeCell ref="I376:W376"/>
    <mergeCell ref="I377:M377"/>
    <mergeCell ref="A378:A385"/>
    <mergeCell ref="I378:M380"/>
    <mergeCell ref="N378:R380"/>
    <mergeCell ref="S378:W380"/>
    <mergeCell ref="I381:M381"/>
    <mergeCell ref="N381:R381"/>
    <mergeCell ref="S383:W383"/>
    <mergeCell ref="I384:M385"/>
    <mergeCell ref="N384:R385"/>
    <mergeCell ref="S381:W381"/>
    <mergeCell ref="B486:V486"/>
    <mergeCell ref="T437:W437"/>
    <mergeCell ref="H438:K438"/>
    <mergeCell ref="L438:O438"/>
    <mergeCell ref="P438:S438"/>
    <mergeCell ref="H439:K440"/>
    <mergeCell ref="B484:V484"/>
    <mergeCell ref="B446:G446"/>
    <mergeCell ref="B447:G447"/>
    <mergeCell ref="P449:Q449"/>
    <mergeCell ref="S384:W385"/>
    <mergeCell ref="I382:M382"/>
    <mergeCell ref="N382:R382"/>
    <mergeCell ref="S377:W377"/>
    <mergeCell ref="T359:W361"/>
    <mergeCell ref="F356:W356"/>
    <mergeCell ref="F357:W357"/>
    <mergeCell ref="P372:S372"/>
    <mergeCell ref="N377:R377"/>
    <mergeCell ref="I383:M383"/>
    <mergeCell ref="H257:K257"/>
    <mergeCell ref="L257:O257"/>
    <mergeCell ref="H427:W428"/>
    <mergeCell ref="B427:G428"/>
    <mergeCell ref="L431:O432"/>
    <mergeCell ref="T404:W404"/>
    <mergeCell ref="T415:W419"/>
    <mergeCell ref="T414:W414"/>
    <mergeCell ref="L413:W413"/>
    <mergeCell ref="P297:S301"/>
    <mergeCell ref="T434:W434"/>
    <mergeCell ref="O155:W156"/>
    <mergeCell ref="Q183:S186"/>
    <mergeCell ref="Q180:S182"/>
    <mergeCell ref="B380:H380"/>
    <mergeCell ref="B381:H385"/>
    <mergeCell ref="H429:K429"/>
    <mergeCell ref="T420:W421"/>
    <mergeCell ref="B164:N165"/>
    <mergeCell ref="O157:R157"/>
    <mergeCell ref="A437:A440"/>
    <mergeCell ref="B437:G440"/>
    <mergeCell ref="H437:K437"/>
    <mergeCell ref="L437:O437"/>
    <mergeCell ref="P437:S437"/>
    <mergeCell ref="H179:J179"/>
    <mergeCell ref="L414:O414"/>
    <mergeCell ref="P414:S414"/>
    <mergeCell ref="L415:O419"/>
    <mergeCell ref="P415:S419"/>
    <mergeCell ref="T438:W438"/>
    <mergeCell ref="H430:K430"/>
    <mergeCell ref="L430:O430"/>
    <mergeCell ref="P430:S430"/>
    <mergeCell ref="T430:W430"/>
    <mergeCell ref="T429:W429"/>
    <mergeCell ref="P429:S429"/>
    <mergeCell ref="L429:O429"/>
    <mergeCell ref="T435:W436"/>
    <mergeCell ref="H435:K436"/>
    <mergeCell ref="K65:L65"/>
    <mergeCell ref="S146:W146"/>
    <mergeCell ref="S147:W147"/>
    <mergeCell ref="E125:N127"/>
    <mergeCell ref="P257:S257"/>
    <mergeCell ref="T257:W257"/>
    <mergeCell ref="B168:W168"/>
    <mergeCell ref="S148:W148"/>
    <mergeCell ref="S149:W150"/>
    <mergeCell ref="F257:G257"/>
    <mergeCell ref="O139:R148"/>
    <mergeCell ref="O149:R150"/>
    <mergeCell ref="O158:R163"/>
    <mergeCell ref="B161:N163"/>
    <mergeCell ref="B139:D150"/>
    <mergeCell ref="S139:W145"/>
    <mergeCell ref="E139:N144"/>
    <mergeCell ref="E145:N150"/>
    <mergeCell ref="B152:W153"/>
    <mergeCell ref="AF375:AF385"/>
    <mergeCell ref="Y457:AE460"/>
    <mergeCell ref="A457:W460"/>
    <mergeCell ref="B155:N157"/>
    <mergeCell ref="B158:N160"/>
    <mergeCell ref="AE375:AE385"/>
    <mergeCell ref="AA375:AA385"/>
    <mergeCell ref="A258:A262"/>
    <mergeCell ref="B258:E262"/>
    <mergeCell ref="F258:G260"/>
    <mergeCell ref="O164:R165"/>
    <mergeCell ref="A110:W110"/>
    <mergeCell ref="F108:I108"/>
    <mergeCell ref="S136:W136"/>
    <mergeCell ref="B125:D127"/>
    <mergeCell ref="B128:D138"/>
    <mergeCell ref="S128:W133"/>
    <mergeCell ref="S134:W134"/>
    <mergeCell ref="O137:R138"/>
    <mergeCell ref="S157:W157"/>
    <mergeCell ref="P404:S404"/>
    <mergeCell ref="P410:S411"/>
    <mergeCell ref="P367:S369"/>
    <mergeCell ref="P370:S371"/>
    <mergeCell ref="T372:W372"/>
    <mergeCell ref="L373:O374"/>
    <mergeCell ref="P373:S374"/>
    <mergeCell ref="T373:W374"/>
    <mergeCell ref="T367:W369"/>
    <mergeCell ref="L372:O372"/>
    <mergeCell ref="L358:O358"/>
    <mergeCell ref="P362:S363"/>
    <mergeCell ref="T362:W363"/>
    <mergeCell ref="T358:W358"/>
    <mergeCell ref="L362:O363"/>
    <mergeCell ref="L370:O371"/>
    <mergeCell ref="P366:S366"/>
    <mergeCell ref="B363:E363"/>
    <mergeCell ref="B359:E362"/>
    <mergeCell ref="P358:S358"/>
    <mergeCell ref="L359:O361"/>
    <mergeCell ref="P359:S361"/>
    <mergeCell ref="B356:E358"/>
    <mergeCell ref="I358:K358"/>
    <mergeCell ref="I359:K361"/>
    <mergeCell ref="F358:H358"/>
    <mergeCell ref="F359:H361"/>
    <mergeCell ref="P344:S345"/>
    <mergeCell ref="T344:W345"/>
    <mergeCell ref="L343:O343"/>
    <mergeCell ref="P343:S343"/>
    <mergeCell ref="T343:W343"/>
    <mergeCell ref="T331:W331"/>
    <mergeCell ref="L336:O336"/>
    <mergeCell ref="P335:S335"/>
    <mergeCell ref="T335:W335"/>
    <mergeCell ref="T337:W338"/>
    <mergeCell ref="T336:W336"/>
    <mergeCell ref="L342:O342"/>
    <mergeCell ref="P342:S342"/>
    <mergeCell ref="T342:W342"/>
    <mergeCell ref="P339:S341"/>
    <mergeCell ref="L339:O341"/>
    <mergeCell ref="T339:W341"/>
    <mergeCell ref="Y293:Y296"/>
    <mergeCell ref="Y297:Y301"/>
    <mergeCell ref="Y302:Y305"/>
    <mergeCell ref="K320:O323"/>
    <mergeCell ref="P320:S323"/>
    <mergeCell ref="T320:W323"/>
    <mergeCell ref="Y316:Y319"/>
    <mergeCell ref="Y320:Y323"/>
    <mergeCell ref="K312:O315"/>
    <mergeCell ref="K302:O305"/>
    <mergeCell ref="A49:W49"/>
    <mergeCell ref="H93:W93"/>
    <mergeCell ref="H94:W94"/>
    <mergeCell ref="H95:W95"/>
    <mergeCell ref="D87:W89"/>
    <mergeCell ref="Y289:Y292"/>
    <mergeCell ref="L107:W107"/>
    <mergeCell ref="L108:S108"/>
    <mergeCell ref="B122:W123"/>
    <mergeCell ref="O125:W126"/>
    <mergeCell ref="A45:W46"/>
    <mergeCell ref="T285:W288"/>
    <mergeCell ref="K282:W282"/>
    <mergeCell ref="P284:S284"/>
    <mergeCell ref="T284:W284"/>
    <mergeCell ref="P285:S288"/>
    <mergeCell ref="K284:O284"/>
    <mergeCell ref="K285:O288"/>
    <mergeCell ref="K283:W283"/>
    <mergeCell ref="A59:W63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G55:H55"/>
    <mergeCell ref="B445:G445"/>
    <mergeCell ref="H445:S445"/>
    <mergeCell ref="H97:W97"/>
    <mergeCell ref="B206:W208"/>
    <mergeCell ref="G56:H56"/>
    <mergeCell ref="A67:W70"/>
    <mergeCell ref="H258:K260"/>
    <mergeCell ref="L258:O260"/>
    <mergeCell ref="P258:S260"/>
    <mergeCell ref="A72:W74"/>
    <mergeCell ref="H261:K262"/>
    <mergeCell ref="H431:K432"/>
    <mergeCell ref="P331:S331"/>
    <mergeCell ref="T332:W334"/>
    <mergeCell ref="L332:O334"/>
    <mergeCell ref="P420:S421"/>
    <mergeCell ref="P312:S315"/>
    <mergeCell ref="T312:W315"/>
    <mergeCell ref="K316:O319"/>
    <mergeCell ref="P316:S319"/>
    <mergeCell ref="H92:W92"/>
    <mergeCell ref="S137:W138"/>
    <mergeCell ref="S158:W160"/>
    <mergeCell ref="S161:W161"/>
    <mergeCell ref="S162:W162"/>
    <mergeCell ref="S163:W163"/>
    <mergeCell ref="S127:W127"/>
    <mergeCell ref="S135:W135"/>
    <mergeCell ref="O127:R127"/>
    <mergeCell ref="O128:R136"/>
    <mergeCell ref="A433:A436"/>
    <mergeCell ref="B433:G436"/>
    <mergeCell ref="H433:K433"/>
    <mergeCell ref="L433:O433"/>
    <mergeCell ref="P433:S433"/>
    <mergeCell ref="H434:K434"/>
    <mergeCell ref="L435:O436"/>
    <mergeCell ref="P435:S436"/>
    <mergeCell ref="L434:O434"/>
    <mergeCell ref="P434:S434"/>
    <mergeCell ref="A282:A288"/>
    <mergeCell ref="L331:O331"/>
    <mergeCell ref="S164:W165"/>
    <mergeCell ref="K289:O292"/>
    <mergeCell ref="B272:W278"/>
    <mergeCell ref="A429:A432"/>
    <mergeCell ref="A427:A428"/>
    <mergeCell ref="F202:G203"/>
    <mergeCell ref="T258:W260"/>
    <mergeCell ref="F261:G262"/>
    <mergeCell ref="A356:A358"/>
    <mergeCell ref="A309:A315"/>
    <mergeCell ref="A329:A331"/>
    <mergeCell ref="A402:A404"/>
    <mergeCell ref="K309:W309"/>
    <mergeCell ref="K311:O311"/>
    <mergeCell ref="A316:A319"/>
    <mergeCell ref="P311:S311"/>
    <mergeCell ref="T311:W311"/>
    <mergeCell ref="T316:W319"/>
    <mergeCell ref="B415:K416"/>
    <mergeCell ref="B418:K421"/>
    <mergeCell ref="B417:K417"/>
    <mergeCell ref="L404:O404"/>
    <mergeCell ref="B405:K407"/>
    <mergeCell ref="L405:O409"/>
    <mergeCell ref="B408:K408"/>
    <mergeCell ref="L420:O421"/>
    <mergeCell ref="L410:O411"/>
    <mergeCell ref="L412:W412"/>
    <mergeCell ref="A302:A305"/>
    <mergeCell ref="A155:A157"/>
    <mergeCell ref="A169:W169"/>
    <mergeCell ref="B170:W172"/>
    <mergeCell ref="B173:W176"/>
    <mergeCell ref="A177:A179"/>
    <mergeCell ref="T179:W179"/>
    <mergeCell ref="L261:O262"/>
    <mergeCell ref="P261:S262"/>
    <mergeCell ref="B282:J288"/>
    <mergeCell ref="A192:A194"/>
    <mergeCell ref="B192:E194"/>
    <mergeCell ref="F192:W192"/>
    <mergeCell ref="F193:W193"/>
    <mergeCell ref="T297:W301"/>
    <mergeCell ref="K293:O296"/>
    <mergeCell ref="P293:S296"/>
    <mergeCell ref="P289:S292"/>
    <mergeCell ref="B267:W271"/>
    <mergeCell ref="T293:W296"/>
    <mergeCell ref="A297:A301"/>
    <mergeCell ref="B409:K411"/>
    <mergeCell ref="B209:W213"/>
    <mergeCell ref="F179:G179"/>
    <mergeCell ref="A180:A191"/>
    <mergeCell ref="T261:W262"/>
    <mergeCell ref="B214:W216"/>
    <mergeCell ref="B177:E179"/>
    <mergeCell ref="A320:A323"/>
    <mergeCell ref="F178:W178"/>
    <mergeCell ref="F452:S452"/>
    <mergeCell ref="C100:K100"/>
    <mergeCell ref="L100:R100"/>
    <mergeCell ref="N194:P194"/>
    <mergeCell ref="Q194:S194"/>
    <mergeCell ref="A113:W113"/>
    <mergeCell ref="B114:W117"/>
    <mergeCell ref="B118:W121"/>
    <mergeCell ref="A125:A127"/>
    <mergeCell ref="T194:W194"/>
    <mergeCell ref="L402:W402"/>
    <mergeCell ref="L403:W403"/>
    <mergeCell ref="F194:G194"/>
    <mergeCell ref="H194:J194"/>
    <mergeCell ref="T410:W411"/>
    <mergeCell ref="P405:S409"/>
    <mergeCell ref="T405:W409"/>
    <mergeCell ref="T289:W292"/>
    <mergeCell ref="P302:S305"/>
    <mergeCell ref="Q202:S203"/>
    <mergeCell ref="B186:E191"/>
    <mergeCell ref="B180:E184"/>
    <mergeCell ref="B293:J296"/>
    <mergeCell ref="B302:J305"/>
    <mergeCell ref="B412:K414"/>
    <mergeCell ref="B402:K404"/>
    <mergeCell ref="B203:E203"/>
    <mergeCell ref="B264:W265"/>
    <mergeCell ref="A266:W266"/>
    <mergeCell ref="A412:A414"/>
    <mergeCell ref="A220:A226"/>
    <mergeCell ref="B220:H226"/>
    <mergeCell ref="I220:M224"/>
    <mergeCell ref="N220:R224"/>
    <mergeCell ref="S220:W224"/>
    <mergeCell ref="I225:M226"/>
    <mergeCell ref="N225:R226"/>
    <mergeCell ref="S225:W226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316 B320">
    <cfRule type="expression" priority="29" dxfId="46" stopIfTrue="1">
      <formula>AND($G$56="первая",$B316&lt;&gt;"")</formula>
    </cfRule>
  </conditionalFormatting>
  <conditionalFormatting sqref="K316:S323">
    <cfRule type="containsText" priority="20" dxfId="41" operator="containsText" stopIfTrue="1" text="Не заполнять">
      <formula>NOT(ISERROR(SEARCH("Не заполнять",K316)))</formula>
    </cfRule>
  </conditionalFormatting>
  <conditionalFormatting sqref="A466:W466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2">
    <dataValidation type="list" allowBlank="1" showInputMessage="1" showErrorMessage="1" sqref="P431:S432">
      <formula1>AD431</formula1>
    </dataValidation>
    <dataValidation type="list" allowBlank="1" showInputMessage="1" showErrorMessage="1" sqref="T431:W432">
      <formula1>$AE431</formula1>
    </dataValidation>
    <dataValidation type="list" allowBlank="1" showInputMessage="1" showErrorMessage="1" sqref="P435:S436 P439:S440">
      <formula1>$AD$434</formula1>
    </dataValidation>
    <dataValidation allowBlank="1" showInputMessage="1" showErrorMessage="1" promptTitle="Внимание!" prompt="Введите данные на листе &#10;&quot;Общие сведения&quot;" sqref="A457 D87:W89 Y63:AG66 P109:R109 A59 A67 L108:M108 H92:J99 AI63:AJ66"/>
    <dataValidation type="list" allowBlank="1" showInputMessage="1" showErrorMessage="1" sqref="H398:J399 H261:K262 N253:R254 N239:R240 N246:R247 N232:R233 N225:R226 H202:J203 H190:J191 I337:K338 I362:O363 I344:K345 U398:W399">
      <formula1>"10,  "</formula1>
    </dataValidation>
    <dataValidation type="list" allowBlank="1" showInputMessage="1" showErrorMessage="1" sqref="T420:W421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49 U81:V81 Z81"/>
    <dataValidation type="list" allowBlank="1" showInputMessage="1" showErrorMessage="1" sqref="P410:S411 L261:O262 S253:W254 S239:W240 S246:W247 S232:W233 S225:W226 P362:W363">
      <formula1>"20,  "</formula1>
    </dataValidation>
    <dataValidation type="list" allowBlank="1" showInputMessage="1" showErrorMessage="1" sqref="P420:S421 P261:S262 T410:W411">
      <formula1>"30,  "</formula1>
    </dataValidation>
    <dataValidation type="list" allowBlank="1" showInputMessage="1" showErrorMessage="1" sqref="K398:O399">
      <formula1>"20, 40, "</formula1>
    </dataValidation>
    <dataValidation type="list" allowBlank="1" showInputMessage="1" showErrorMessage="1" sqref="P398:T399">
      <formula1>"40, 60, "</formula1>
    </dataValidation>
    <dataValidation type="list" allowBlank="1" showInputMessage="1" showErrorMessage="1" sqref="L431:O432">
      <formula1>$AC$431</formula1>
    </dataValidation>
    <dataValidation type="list" allowBlank="1" showInputMessage="1" showErrorMessage="1" sqref="L435:O436 L439:O440">
      <formula1>$AC$434</formula1>
    </dataValidation>
    <dataValidation type="list" allowBlank="1" showInputMessage="1" showErrorMessage="1" sqref="T435:W436 T439:W440">
      <formula1>$AE$434</formula1>
    </dataValidation>
    <dataValidation type="list" allowBlank="1" showInputMessage="1" showErrorMessage="1" sqref="N384:R385">
      <formula1>"10, 20, 30, "</formula1>
    </dataValidation>
    <dataValidation type="list" allowBlank="1" showInputMessage="1" showErrorMessage="1" sqref="S384:W385">
      <formula1>"50, 70, "</formula1>
    </dataValidation>
    <dataValidation type="list" allowBlank="1" showInputMessage="1" showErrorMessage="1" sqref="P354:W355 K190:M191 K202:M203 L337:O338 L344:O345 L373:O374">
      <formula1>"10, 20, "</formula1>
    </dataValidation>
    <dataValidation type="list" allowBlank="1" showInputMessage="1" showErrorMessage="1" sqref="I354:O355 P302:R303 P316:S323 P289:R289 P297:R300 P293:R293">
      <formula1>"10, "</formula1>
    </dataValidation>
    <dataValidation type="list" allowBlank="1" showInputMessage="1" showErrorMessage="1" sqref="P344:S345 N202:P203 P337:S338 P373:S374">
      <formula1>"20, 30, "</formula1>
    </dataValidation>
    <dataValidation type="list" allowBlank="1" showInputMessage="1" showErrorMessage="1" sqref="T344:W345 Q202:W203 T337:W338 T373:W374">
      <formula1>"30, 40, "</formula1>
    </dataValidation>
    <dataValidation type="list" allowBlank="1" showInputMessage="1" showErrorMessage="1" sqref="T289:W305 T316:W323">
      <formula1>"20, "</formula1>
    </dataValidation>
    <dataValidation type="list" allowBlank="1" showInputMessage="1" showErrorMessage="1" sqref="T261:W262">
      <formula1>"40,  "</formula1>
    </dataValidation>
    <dataValidation type="list" allowBlank="1" showInputMessage="1" showErrorMessage="1" sqref="T190 Q190:S191">
      <formula1>"10, 40, "</formula1>
    </dataValidation>
    <dataValidation type="list" allowBlank="1" showInputMessage="1" showErrorMessage="1" sqref="N190:O191">
      <formula1>"10, 30,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H91:W91 Y91:AG92"/>
    <dataValidation type="list" allowBlank="1" showInputMessage="1" showErrorMessage="1" sqref="S137:W138">
      <formula1>$AD$137:$AG$137</formula1>
    </dataValidation>
    <dataValidation type="list" allowBlank="1" showInputMessage="1" showErrorMessage="1" sqref="S149:W150">
      <formula1>$AD$149:$AG$149</formula1>
    </dataValidation>
    <dataValidation type="list" allowBlank="1" showInputMessage="1" showErrorMessage="1" sqref="S164:W165">
      <formula1>$AD$164:$AG$164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486" location="ЭЗ!A40" tooltip="Щелкните, чтобы перейти по ссылке" display="в начало Экспертного заключения"/>
    <hyperlink ref="B484:V484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</cp:lastModifiedBy>
  <cp:lastPrinted>2021-07-22T12:46:32Z</cp:lastPrinted>
  <dcterms:created xsi:type="dcterms:W3CDTF">2020-08-22T14:09:43Z</dcterms:created>
  <dcterms:modified xsi:type="dcterms:W3CDTF">2021-07-25T21:29:32Z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